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pivotTables/pivotTable2.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autoCompressPictures="0"/>
  <mc:AlternateContent xmlns:mc="http://schemas.openxmlformats.org/markup-compatibility/2006">
    <mc:Choice Requires="x15">
      <x15ac:absPath xmlns:x15ac="http://schemas.microsoft.com/office/spreadsheetml/2010/11/ac" url="X:\2211\2- PROJECTS\47600-47699\47661 Naut'sa Mawt\2.0 Documents\Reports - ML\Buildings\"/>
    </mc:Choice>
  </mc:AlternateContent>
  <xr:revisionPtr revIDLastSave="0" documentId="8_{DAA9D456-1632-468E-8AEA-E38C266BBF19}" xr6:coauthVersionLast="47" xr6:coauthVersionMax="47" xr10:uidLastSave="{00000000-0000-0000-0000-000000000000}"/>
  <bookViews>
    <workbookView xWindow="-120" yWindow="-120" windowWidth="29040" windowHeight="15840" tabRatio="934" xr2:uid="{00000000-000D-0000-FFFF-FFFF00000000}"/>
  </bookViews>
  <sheets>
    <sheet name="TABLE OF CONTENTS" sheetId="77" r:id="rId1"/>
    <sheet name="1. BUILDING ASSET INVENTORY" sheetId="76" r:id="rId2"/>
    <sheet name="2. WORK ORDERS" sheetId="69" r:id="rId3"/>
    <sheet name="3. SCHEDULE" sheetId="71" r:id="rId4"/>
    <sheet name="4. BUDGET" sheetId="72" r:id="rId5"/>
    <sheet name="5. WO Data Masterlist" sheetId="68" r:id="rId6"/>
  </sheets>
  <definedNames>
    <definedName name="_xlnm._FilterDatabase" localSheetId="1" hidden="1">'1. BUILDING ASSET INVENTORY'!$A$17:$J$171</definedName>
    <definedName name="S01AssetSubgroup">#REF!</definedName>
    <definedName name="Slicer_CATEGORY">#N/A</definedName>
    <definedName name="Slicer_CATEGORY2">#N/A</definedName>
    <definedName name="Slicer_MAINTENANCE_OR_CAPITAL">#N/A</definedName>
    <definedName name="Slicer_MAINTENANCE_OR_CAPITAL1">#N/A</definedName>
    <definedName name="TaskDescription" localSheetId="4">'4. BUDGET'!$E$23</definedName>
    <definedName name="TaskDescription">#REF!</definedName>
    <definedName name="Type">#REF!</definedName>
  </definedNames>
  <calcPr calcId="191029"/>
  <pivotCaches>
    <pivotCache cacheId="42" r:id="rId7"/>
    <pivotCache cacheId="753" r:id="rId8"/>
  </pivotCaches>
  <fileRecoveryPr autoRecover="0"/>
  <extLst>
    <ext xmlns:x14="http://schemas.microsoft.com/office/spreadsheetml/2009/9/main" uri="{79F54976-1DA5-4618-B147-4CDE4B953A38}">
      <x14:workbookPr defaultImageDpi="32767"/>
    </ext>
    <ext xmlns:x15="http://schemas.microsoft.com/office/spreadsheetml/2010/11/main" uri="{46BE6895-7355-4a93-B00E-2C351335B9C9}">
      <x15:slicerCaches xmlns:x14="http://schemas.microsoft.com/office/spreadsheetml/2009/9/main">
        <x14:slicerCache r:id="rId9"/>
        <x14:slicerCache r:id="rId10"/>
        <x14:slicerCache r:id="rId11"/>
        <x14:slicerCache r:id="rId1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72" l="1"/>
  <c r="N23" i="72"/>
  <c r="M23" i="72"/>
  <c r="L23" i="72"/>
  <c r="K23" i="72"/>
  <c r="H23" i="72"/>
  <c r="F23" i="72"/>
  <c r="E23" i="72"/>
  <c r="D23" i="72"/>
  <c r="C9" i="71"/>
  <c r="C10" i="71"/>
  <c r="C11" i="71"/>
  <c r="C12" i="71"/>
  <c r="H13" i="71"/>
  <c r="I13" i="71"/>
  <c r="J13" i="71"/>
  <c r="K13" i="71"/>
  <c r="L13" i="71"/>
  <c r="M13" i="71"/>
  <c r="N13" i="71"/>
  <c r="O13" i="71"/>
  <c r="P13" i="71"/>
  <c r="Q13" i="71"/>
  <c r="R13" i="71"/>
  <c r="S13" i="71"/>
  <c r="T13" i="71"/>
  <c r="U13" i="71"/>
  <c r="V13" i="71"/>
  <c r="W13" i="71"/>
  <c r="X13" i="71"/>
  <c r="Y13" i="71"/>
  <c r="Z13" i="71"/>
  <c r="AA13" i="71"/>
  <c r="AB13" i="71"/>
  <c r="AC13" i="71"/>
  <c r="AD13" i="71"/>
  <c r="AE13" i="71"/>
  <c r="AF13" i="71"/>
  <c r="AG13" i="71"/>
  <c r="AH13" i="71"/>
  <c r="AI13" i="71"/>
  <c r="AJ13" i="71"/>
  <c r="AK13" i="71"/>
  <c r="AL13" i="71"/>
  <c r="AM13" i="71"/>
  <c r="AN13" i="71"/>
  <c r="AO13" i="71"/>
  <c r="AP13" i="71"/>
  <c r="AQ13" i="71"/>
  <c r="AR13" i="71"/>
  <c r="AS13" i="71"/>
  <c r="AT13" i="71"/>
  <c r="AU13" i="71"/>
  <c r="AV13" i="71"/>
  <c r="AW13" i="71"/>
  <c r="AX13" i="71"/>
  <c r="AY13" i="71"/>
  <c r="AZ13" i="71"/>
  <c r="BA13" i="71"/>
  <c r="BB13" i="71"/>
  <c r="BC13" i="71"/>
  <c r="BD13" i="71"/>
  <c r="BE13" i="71"/>
  <c r="BF13" i="71"/>
  <c r="BG13" i="71"/>
  <c r="C17" i="71"/>
  <c r="D17" i="71"/>
  <c r="E17" i="71"/>
  <c r="F17" i="71"/>
  <c r="G17" i="71" s="1"/>
  <c r="C18" i="71"/>
  <c r="D18" i="71"/>
  <c r="E18" i="71"/>
  <c r="F18" i="71"/>
  <c r="G18" i="71" s="1"/>
  <c r="C19" i="71"/>
  <c r="D19" i="71"/>
  <c r="E19" i="71"/>
  <c r="F19" i="71"/>
  <c r="G19" i="71" s="1"/>
  <c r="C20" i="71"/>
  <c r="D20" i="71"/>
  <c r="E20" i="71"/>
  <c r="F20" i="71"/>
  <c r="G20" i="71" s="1"/>
  <c r="C21" i="71"/>
  <c r="D21" i="71"/>
  <c r="E21" i="71"/>
  <c r="F21" i="71"/>
  <c r="G21" i="71" s="1"/>
  <c r="C22" i="71"/>
  <c r="D22" i="71"/>
  <c r="E22" i="71"/>
  <c r="F22" i="71"/>
  <c r="G22" i="71" s="1"/>
  <c r="C23" i="71"/>
  <c r="D23" i="71"/>
  <c r="E23" i="71"/>
  <c r="F23" i="71"/>
  <c r="G23" i="71" s="1"/>
  <c r="C24" i="71"/>
  <c r="D24" i="71"/>
  <c r="E24" i="71"/>
  <c r="F24" i="71"/>
  <c r="G24" i="71" s="1"/>
  <c r="C25" i="71"/>
  <c r="D25" i="71"/>
  <c r="E25" i="71"/>
  <c r="F25" i="71"/>
  <c r="G25" i="71" s="1"/>
  <c r="C26" i="71"/>
  <c r="D26" i="71"/>
  <c r="E26" i="71"/>
  <c r="F26" i="71"/>
  <c r="G26" i="71" s="1"/>
  <c r="C27" i="71"/>
  <c r="D27" i="71"/>
  <c r="E27" i="71"/>
  <c r="F27" i="71"/>
  <c r="G27" i="71" s="1"/>
  <c r="C28" i="71"/>
  <c r="D28" i="71"/>
  <c r="E28" i="71"/>
  <c r="F28" i="71"/>
  <c r="G28" i="71" s="1"/>
  <c r="C29" i="71"/>
  <c r="D29" i="71"/>
  <c r="E29" i="71"/>
  <c r="F29" i="71"/>
  <c r="G29" i="71" s="1"/>
  <c r="C30" i="71"/>
  <c r="D30" i="71"/>
  <c r="E30" i="71"/>
  <c r="F30" i="71"/>
  <c r="G30" i="71" s="1"/>
  <c r="C31" i="71"/>
  <c r="D31" i="71"/>
  <c r="E31" i="71"/>
  <c r="F31" i="71"/>
  <c r="G31" i="71" s="1"/>
  <c r="C32" i="71"/>
  <c r="D32" i="71"/>
  <c r="E32" i="71"/>
  <c r="F32" i="71"/>
  <c r="G32" i="71" s="1"/>
  <c r="C33" i="71"/>
  <c r="D33" i="71"/>
  <c r="E33" i="71"/>
  <c r="F33" i="71"/>
  <c r="G33" i="71" s="1"/>
  <c r="C34" i="71"/>
  <c r="D34" i="71"/>
  <c r="E34" i="71"/>
  <c r="F34" i="71"/>
  <c r="G34" i="71" s="1"/>
  <c r="C35" i="71"/>
  <c r="D35" i="71"/>
  <c r="E35" i="71"/>
  <c r="F35" i="71"/>
  <c r="G35" i="71" s="1"/>
  <c r="C36" i="71"/>
  <c r="D36" i="71"/>
  <c r="E36" i="71"/>
  <c r="F36" i="71"/>
  <c r="G36" i="71" s="1"/>
  <c r="C37" i="71"/>
  <c r="D37" i="71"/>
  <c r="E37" i="71"/>
  <c r="F37" i="71"/>
  <c r="G37" i="71" s="1"/>
  <c r="C38" i="71"/>
  <c r="D38" i="71"/>
  <c r="E38" i="71"/>
  <c r="F38" i="71"/>
  <c r="G38" i="71" s="1"/>
  <c r="C39" i="71"/>
  <c r="D39" i="71"/>
  <c r="E39" i="71"/>
  <c r="F39" i="71"/>
  <c r="G39" i="71" s="1"/>
  <c r="C40" i="71"/>
  <c r="D40" i="71"/>
  <c r="E40" i="71"/>
  <c r="F40" i="71"/>
  <c r="G40" i="71" s="1"/>
  <c r="C41" i="71"/>
  <c r="D41" i="71"/>
  <c r="E41" i="71"/>
  <c r="F41" i="71"/>
  <c r="G41" i="71" s="1"/>
  <c r="C42" i="71"/>
  <c r="D42" i="71"/>
  <c r="E42" i="71"/>
  <c r="F42" i="71"/>
  <c r="G42" i="71" s="1"/>
  <c r="C43" i="71"/>
  <c r="D43" i="71"/>
  <c r="E43" i="71"/>
  <c r="F43" i="71"/>
  <c r="G43" i="71" s="1"/>
  <c r="C44" i="71"/>
  <c r="D44" i="71"/>
  <c r="E44" i="71"/>
  <c r="F44" i="71"/>
  <c r="G44" i="71" s="1"/>
  <c r="O4" i="71" l="1"/>
  <c r="O5" i="71" l="1"/>
  <c r="O6" i="71"/>
  <c r="I247" i="68" l="1"/>
  <c r="I231" i="68"/>
  <c r="I230" i="68"/>
  <c r="J187" i="68"/>
  <c r="J128" i="68"/>
  <c r="Q128" i="68" s="1"/>
  <c r="I107" i="68"/>
  <c r="I108" i="68"/>
  <c r="E11" i="72" l="1"/>
  <c r="E10" i="72"/>
  <c r="E9" i="72"/>
  <c r="E8" i="72"/>
  <c r="O322" i="68"/>
  <c r="O123" i="68"/>
  <c r="O124" i="68"/>
  <c r="O125" i="68"/>
  <c r="O126" i="68"/>
  <c r="O127" i="68"/>
  <c r="O128" i="68"/>
  <c r="O129" i="68"/>
  <c r="O130" i="68"/>
  <c r="O131" i="68"/>
  <c r="O132" i="68"/>
  <c r="O133" i="68"/>
  <c r="O134" i="68"/>
  <c r="O135" i="68"/>
  <c r="O136" i="68"/>
  <c r="O137" i="68"/>
  <c r="O138" i="68"/>
  <c r="O139" i="68"/>
  <c r="O140" i="68"/>
  <c r="O141" i="68"/>
  <c r="O142" i="68"/>
  <c r="O143" i="68"/>
  <c r="O144" i="68"/>
  <c r="O145" i="68"/>
  <c r="O146" i="68"/>
  <c r="O147" i="68"/>
  <c r="O148" i="68"/>
  <c r="O149" i="68"/>
  <c r="O150" i="68"/>
  <c r="O151" i="68"/>
  <c r="O152" i="68"/>
  <c r="O153" i="68"/>
  <c r="O154" i="68"/>
  <c r="O155" i="68"/>
  <c r="O156" i="68"/>
  <c r="O157" i="68"/>
  <c r="O158" i="68"/>
  <c r="O159" i="68"/>
  <c r="O160" i="68"/>
  <c r="O161" i="68"/>
  <c r="O162" i="68"/>
  <c r="O163" i="68"/>
  <c r="O164" i="68"/>
  <c r="O165" i="68"/>
  <c r="O166" i="68"/>
  <c r="O167" i="68"/>
  <c r="O168" i="68"/>
  <c r="O169" i="68"/>
  <c r="O170" i="68"/>
  <c r="O171" i="68"/>
  <c r="O172" i="68"/>
  <c r="O173" i="68"/>
  <c r="O174" i="68"/>
  <c r="O175" i="68"/>
  <c r="O176" i="68"/>
  <c r="O177" i="68"/>
  <c r="O178" i="68"/>
  <c r="O179" i="68"/>
  <c r="O180" i="68"/>
  <c r="O181" i="68"/>
  <c r="O182" i="68"/>
  <c r="O183" i="68"/>
  <c r="O184" i="68"/>
  <c r="O185" i="68"/>
  <c r="O186" i="68"/>
  <c r="O187" i="68"/>
  <c r="O188" i="68"/>
  <c r="O189" i="68"/>
  <c r="O190" i="68"/>
  <c r="O191" i="68"/>
  <c r="O192" i="68"/>
  <c r="O193" i="68"/>
  <c r="O194" i="68"/>
  <c r="O195" i="68"/>
  <c r="O196" i="68"/>
  <c r="O197" i="68"/>
  <c r="O198" i="68"/>
  <c r="O199" i="68"/>
  <c r="O200" i="68"/>
  <c r="O201" i="68"/>
  <c r="O202" i="68"/>
  <c r="O203" i="68"/>
  <c r="O204" i="68"/>
  <c r="O205" i="68"/>
  <c r="O206" i="68"/>
  <c r="O207" i="68"/>
  <c r="O208" i="68"/>
  <c r="O209" i="68"/>
  <c r="O210" i="68"/>
  <c r="O211" i="68"/>
  <c r="O212" i="68"/>
  <c r="O213" i="68"/>
  <c r="O214" i="68"/>
  <c r="O215" i="68"/>
  <c r="O216" i="68"/>
  <c r="O217" i="68"/>
  <c r="O218" i="68"/>
  <c r="O219" i="68"/>
  <c r="O220" i="68"/>
  <c r="O221" i="68"/>
  <c r="O222" i="68"/>
  <c r="O223" i="68"/>
  <c r="O224" i="68"/>
  <c r="O225" i="68"/>
  <c r="O226" i="68"/>
  <c r="O227" i="68"/>
  <c r="O228" i="68"/>
  <c r="O229" i="68"/>
  <c r="O230" i="68"/>
  <c r="O231" i="68"/>
  <c r="O232" i="68"/>
  <c r="O233" i="68"/>
  <c r="O234" i="68"/>
  <c r="O235" i="68"/>
  <c r="O236" i="68"/>
  <c r="O237" i="68"/>
  <c r="O238" i="68"/>
  <c r="O239" i="68"/>
  <c r="O240" i="68"/>
  <c r="O241" i="68"/>
  <c r="O242" i="68"/>
  <c r="O243" i="68"/>
  <c r="O244" i="68"/>
  <c r="O245" i="68"/>
  <c r="O246" i="68"/>
  <c r="O247" i="68"/>
  <c r="O248" i="68"/>
  <c r="O249" i="68"/>
  <c r="O250" i="68"/>
  <c r="O251" i="68"/>
  <c r="O252" i="68"/>
  <c r="O253" i="68"/>
  <c r="O254" i="68"/>
  <c r="O255" i="68"/>
  <c r="O256" i="68"/>
  <c r="O257" i="68"/>
  <c r="O258" i="68"/>
  <c r="O259" i="68"/>
  <c r="O260" i="68"/>
  <c r="O261" i="68"/>
  <c r="O262" i="68"/>
  <c r="O263" i="68"/>
  <c r="O264" i="68"/>
  <c r="O265" i="68"/>
  <c r="O266" i="68"/>
  <c r="O267" i="68"/>
  <c r="O268" i="68"/>
  <c r="O269" i="68"/>
  <c r="O270" i="68"/>
  <c r="O271" i="68"/>
  <c r="O272" i="68"/>
  <c r="O273" i="68"/>
  <c r="O274" i="68"/>
  <c r="O275" i="68"/>
  <c r="O276" i="68"/>
  <c r="O277" i="68"/>
  <c r="O278" i="68"/>
  <c r="O279" i="68"/>
  <c r="O280" i="68"/>
  <c r="O281" i="68"/>
  <c r="O282" i="68"/>
  <c r="O283" i="68"/>
  <c r="O284" i="68"/>
  <c r="O285" i="68"/>
  <c r="O286" i="68"/>
  <c r="O287" i="68"/>
  <c r="O288" i="68"/>
  <c r="O289" i="68"/>
  <c r="O290" i="68"/>
  <c r="O291" i="68"/>
  <c r="O292" i="68"/>
  <c r="O293" i="68"/>
  <c r="O294" i="68"/>
  <c r="O295" i="68"/>
  <c r="O296" i="68"/>
  <c r="O297" i="68"/>
  <c r="O298" i="68"/>
  <c r="O299" i="68"/>
  <c r="O300" i="68"/>
  <c r="O301" i="68"/>
  <c r="O302" i="68"/>
  <c r="O303" i="68"/>
  <c r="O304" i="68"/>
  <c r="O305" i="68"/>
  <c r="O306" i="68"/>
  <c r="O307" i="68"/>
  <c r="O308" i="68"/>
  <c r="O309" i="68"/>
  <c r="O310" i="68"/>
  <c r="O311" i="68"/>
  <c r="O312" i="68"/>
  <c r="O313" i="68"/>
  <c r="O314" i="68"/>
  <c r="O315" i="68"/>
  <c r="O316" i="68"/>
  <c r="O317" i="68"/>
  <c r="O318" i="68"/>
  <c r="O319" i="68"/>
  <c r="O320" i="68"/>
  <c r="O321" i="68"/>
  <c r="O106" i="68"/>
  <c r="O107" i="68"/>
  <c r="O108" i="68"/>
  <c r="O109" i="68"/>
  <c r="O110" i="68"/>
  <c r="O111" i="68"/>
  <c r="O112" i="68"/>
  <c r="O113" i="68"/>
  <c r="O114" i="68"/>
  <c r="O115" i="68"/>
  <c r="O116" i="68"/>
  <c r="O117" i="68"/>
  <c r="O118" i="68"/>
  <c r="O119" i="68"/>
  <c r="O120" i="68"/>
  <c r="O121" i="68"/>
  <c r="O122" i="68"/>
  <c r="O93" i="68"/>
  <c r="O94" i="68"/>
  <c r="O95" i="68"/>
  <c r="O96" i="68"/>
  <c r="O97" i="68"/>
  <c r="O98" i="68"/>
  <c r="O99" i="68"/>
  <c r="O100" i="68"/>
  <c r="O101" i="68"/>
  <c r="O102" i="68"/>
  <c r="O103" i="68"/>
  <c r="O104" i="68"/>
  <c r="O105" i="68"/>
  <c r="O80" i="68"/>
  <c r="O81" i="68"/>
  <c r="O82" i="68"/>
  <c r="O83" i="68"/>
  <c r="O84" i="68"/>
  <c r="O85" i="68"/>
  <c r="O86" i="68"/>
  <c r="O87" i="68"/>
  <c r="O88" i="68"/>
  <c r="O89" i="68"/>
  <c r="O90" i="68"/>
  <c r="O91" i="68"/>
  <c r="O92" i="68"/>
  <c r="O57" i="68"/>
  <c r="O58" i="68"/>
  <c r="O59" i="68"/>
  <c r="O60" i="68"/>
  <c r="O61" i="68"/>
  <c r="O62" i="68"/>
  <c r="O63" i="68"/>
  <c r="O64" i="68"/>
  <c r="O65" i="68"/>
  <c r="O66" i="68"/>
  <c r="O67" i="68"/>
  <c r="O68" i="68"/>
  <c r="O69" i="68"/>
  <c r="O70" i="68"/>
  <c r="O71" i="68"/>
  <c r="O72" i="68"/>
  <c r="O73" i="68"/>
  <c r="O74" i="68"/>
  <c r="O75" i="68"/>
  <c r="O76" i="68"/>
  <c r="O77" i="68"/>
  <c r="O78" i="68"/>
  <c r="O79" i="68"/>
  <c r="O42" i="68"/>
  <c r="O43" i="68"/>
  <c r="O44" i="68"/>
  <c r="O45" i="68"/>
  <c r="O46" i="68"/>
  <c r="O47" i="68"/>
  <c r="O48" i="68"/>
  <c r="O49" i="68"/>
  <c r="O50" i="68"/>
  <c r="O51" i="68"/>
  <c r="O52" i="68"/>
  <c r="O53" i="68"/>
  <c r="O54" i="68"/>
  <c r="O55" i="68"/>
  <c r="O56" i="68"/>
  <c r="O28" i="68"/>
  <c r="O29" i="68"/>
  <c r="O30" i="68"/>
  <c r="O31" i="68"/>
  <c r="O32" i="68"/>
  <c r="O33" i="68"/>
  <c r="O34" i="68"/>
  <c r="O35" i="68"/>
  <c r="O36" i="68"/>
  <c r="O37" i="68"/>
  <c r="O38" i="68"/>
  <c r="O39" i="68"/>
  <c r="O40" i="68"/>
  <c r="O41" i="68"/>
  <c r="O18" i="68"/>
  <c r="O19" i="68"/>
  <c r="O20" i="68"/>
  <c r="O21" i="68"/>
  <c r="O22" i="68"/>
  <c r="O23" i="68"/>
  <c r="O24" i="68"/>
  <c r="O25" i="68"/>
  <c r="O26" i="68"/>
  <c r="O27" i="68"/>
  <c r="O16" i="68"/>
  <c r="O17" i="68"/>
  <c r="B10" i="69"/>
  <c r="B9" i="69"/>
  <c r="B8" i="69"/>
  <c r="B7" i="69"/>
  <c r="C8" i="76"/>
  <c r="C9" i="76"/>
  <c r="C10" i="76"/>
  <c r="C11" i="76"/>
  <c r="C12" i="76"/>
  <c r="C13" i="76"/>
  <c r="C7" i="76"/>
  <c r="G23" i="72" l="1"/>
  <c r="I23" i="72" s="1"/>
  <c r="O23" i="72" s="1"/>
  <c r="M16" i="72" s="1"/>
  <c r="K16" i="68"/>
  <c r="K17" i="68"/>
  <c r="K18" i="68"/>
  <c r="K19" i="68"/>
  <c r="K20" i="68"/>
  <c r="K21" i="68"/>
  <c r="K22" i="68"/>
  <c r="K23" i="68"/>
  <c r="K24" i="68"/>
  <c r="K25" i="68"/>
  <c r="K26" i="68"/>
  <c r="K27" i="68"/>
  <c r="K28" i="68"/>
  <c r="K29" i="68"/>
  <c r="K30" i="68"/>
  <c r="K31" i="68"/>
  <c r="K32" i="68"/>
  <c r="K33" i="68"/>
  <c r="K34" i="68"/>
  <c r="K35" i="68"/>
  <c r="K36" i="68"/>
  <c r="K37" i="68"/>
  <c r="K38" i="68"/>
  <c r="K39" i="68"/>
  <c r="K40" i="68"/>
  <c r="K41" i="68"/>
  <c r="K42" i="68"/>
  <c r="K43" i="68"/>
  <c r="K44" i="68"/>
  <c r="K45" i="68"/>
  <c r="K46" i="68"/>
  <c r="K47" i="68"/>
  <c r="K48" i="68"/>
  <c r="K49" i="68"/>
  <c r="K50" i="68"/>
  <c r="K51" i="68"/>
  <c r="K52" i="68"/>
  <c r="K53" i="68"/>
  <c r="K54" i="68"/>
  <c r="K55" i="68"/>
  <c r="K56" i="68"/>
  <c r="K57" i="68"/>
  <c r="K58" i="68"/>
  <c r="K59" i="68"/>
  <c r="K60" i="68"/>
  <c r="K61" i="68"/>
  <c r="K62" i="68"/>
  <c r="K63" i="68"/>
  <c r="K64" i="68"/>
  <c r="K65" i="68"/>
  <c r="K66" i="68"/>
  <c r="K67" i="68"/>
  <c r="K68" i="68"/>
  <c r="K69" i="68"/>
  <c r="K70" i="68"/>
  <c r="K71" i="68"/>
  <c r="K72" i="68"/>
  <c r="K73" i="68"/>
  <c r="K74" i="68"/>
  <c r="K75" i="68"/>
  <c r="K76" i="68"/>
  <c r="K77" i="68"/>
  <c r="K78" i="68"/>
  <c r="K79" i="68"/>
  <c r="K80" i="68"/>
  <c r="K81" i="68"/>
  <c r="K82" i="68"/>
  <c r="K83" i="68"/>
  <c r="K84" i="68"/>
  <c r="K85" i="68"/>
  <c r="K86" i="68"/>
  <c r="K87" i="68"/>
  <c r="K88" i="68"/>
  <c r="K89" i="68"/>
  <c r="K90" i="68"/>
  <c r="K91" i="68"/>
  <c r="K92" i="68"/>
  <c r="K93" i="68"/>
  <c r="K94" i="68"/>
  <c r="K95" i="68"/>
  <c r="K96" i="68"/>
  <c r="K97" i="68"/>
  <c r="K98" i="68"/>
  <c r="K99" i="68"/>
  <c r="K100" i="68"/>
  <c r="K101" i="68"/>
  <c r="K102" i="68"/>
  <c r="K103" i="68"/>
  <c r="K104" i="68"/>
  <c r="K105" i="68"/>
  <c r="K106" i="68"/>
  <c r="K107" i="68"/>
  <c r="K108" i="68"/>
  <c r="K109" i="68"/>
  <c r="K110" i="68"/>
  <c r="K111" i="68"/>
  <c r="K112" i="68"/>
  <c r="K113" i="68"/>
  <c r="K114" i="68"/>
  <c r="K115" i="68"/>
  <c r="K116" i="68"/>
  <c r="K117" i="68"/>
  <c r="K118" i="68"/>
  <c r="K119" i="68"/>
  <c r="K120" i="68"/>
  <c r="K121" i="68"/>
  <c r="K122" i="68"/>
  <c r="K123" i="68"/>
  <c r="K124" i="68"/>
  <c r="K125" i="68"/>
  <c r="K126" i="68"/>
  <c r="K127" i="68"/>
  <c r="K128" i="68"/>
  <c r="K129" i="68"/>
  <c r="K130" i="68"/>
  <c r="K131" i="68"/>
  <c r="K132" i="68"/>
  <c r="K133" i="68"/>
  <c r="K134" i="68"/>
  <c r="K135" i="68"/>
  <c r="K136" i="68"/>
  <c r="K137" i="68"/>
  <c r="K138" i="68"/>
  <c r="K139" i="68"/>
  <c r="K140" i="68"/>
  <c r="K141" i="68"/>
  <c r="K142" i="68"/>
  <c r="K143" i="68"/>
  <c r="K144" i="68"/>
  <c r="K145" i="68"/>
  <c r="K146" i="68"/>
  <c r="K147" i="68"/>
  <c r="K148" i="68"/>
  <c r="K149" i="68"/>
  <c r="K150" i="68"/>
  <c r="K151" i="68"/>
  <c r="K152" i="68"/>
  <c r="K153" i="68"/>
  <c r="K154" i="68"/>
  <c r="K155" i="68"/>
  <c r="K156" i="68"/>
  <c r="K157" i="68"/>
  <c r="K158" i="68"/>
  <c r="K159" i="68"/>
  <c r="K160" i="68"/>
  <c r="K161" i="68"/>
  <c r="K162" i="68"/>
  <c r="K163" i="68"/>
  <c r="K164" i="68"/>
  <c r="K165" i="68"/>
  <c r="K166" i="68"/>
  <c r="K167" i="68"/>
  <c r="K168" i="68"/>
  <c r="K169" i="68"/>
  <c r="K170" i="68"/>
  <c r="K171" i="68"/>
  <c r="K172" i="68"/>
  <c r="K173" i="68"/>
  <c r="K174" i="68"/>
  <c r="K175" i="68"/>
  <c r="K176" i="68"/>
  <c r="K177" i="68"/>
  <c r="K178" i="68"/>
  <c r="K179" i="68"/>
  <c r="K180" i="68"/>
  <c r="K181" i="68"/>
  <c r="K182" i="68"/>
  <c r="K183" i="68"/>
  <c r="K184" i="68"/>
  <c r="K185" i="68"/>
  <c r="K186" i="68"/>
  <c r="K187" i="68"/>
  <c r="K188" i="68"/>
  <c r="K189" i="68"/>
  <c r="K190" i="68"/>
  <c r="K191" i="68"/>
  <c r="K192" i="68"/>
  <c r="K193" i="68"/>
  <c r="K194" i="68"/>
  <c r="K195" i="68"/>
  <c r="K196" i="68"/>
  <c r="K197" i="68"/>
  <c r="K198" i="68"/>
  <c r="K199" i="68"/>
  <c r="K200" i="68"/>
  <c r="K201" i="68"/>
  <c r="K202" i="68"/>
  <c r="K203" i="68"/>
  <c r="K204" i="68"/>
  <c r="K205" i="68"/>
  <c r="K206" i="68"/>
  <c r="K207" i="68"/>
  <c r="K208" i="68"/>
  <c r="K209" i="68"/>
  <c r="K210" i="68"/>
  <c r="K211" i="68"/>
  <c r="K212" i="68"/>
  <c r="K213" i="68"/>
  <c r="K214" i="68"/>
  <c r="K215" i="68"/>
  <c r="K216" i="68"/>
  <c r="K217" i="68"/>
  <c r="K218" i="68"/>
  <c r="K219" i="68"/>
  <c r="K220" i="68"/>
  <c r="K221" i="68"/>
  <c r="K222" i="68"/>
  <c r="K223" i="68"/>
  <c r="K224" i="68"/>
  <c r="K225" i="68"/>
  <c r="K226" i="68"/>
  <c r="K227" i="68"/>
  <c r="K228" i="68"/>
  <c r="K229" i="68"/>
  <c r="K230" i="68"/>
  <c r="K231" i="68"/>
  <c r="K232" i="68"/>
  <c r="K233" i="68"/>
  <c r="K234" i="68"/>
  <c r="K235" i="68"/>
  <c r="K236" i="68"/>
  <c r="K237" i="68"/>
  <c r="K238" i="68"/>
  <c r="K239" i="68"/>
  <c r="K240" i="68"/>
  <c r="K241" i="68"/>
  <c r="K242" i="68"/>
  <c r="K243" i="68"/>
  <c r="K244" i="68"/>
  <c r="K245" i="68"/>
  <c r="K246" i="68"/>
  <c r="K247" i="68"/>
  <c r="K248" i="68"/>
  <c r="K249" i="68"/>
  <c r="K250" i="68"/>
  <c r="K251" i="68"/>
  <c r="K252" i="68"/>
  <c r="K253" i="68"/>
  <c r="K254" i="68"/>
  <c r="K255" i="68"/>
  <c r="K256" i="68"/>
  <c r="K257" i="68"/>
  <c r="K258" i="68"/>
  <c r="K259" i="68"/>
  <c r="K260" i="68"/>
  <c r="K261" i="68"/>
  <c r="K262" i="68"/>
  <c r="K263" i="68"/>
  <c r="K264" i="68"/>
  <c r="K265" i="68"/>
  <c r="K266" i="68"/>
  <c r="K267" i="68"/>
  <c r="K268" i="68"/>
  <c r="K269" i="68"/>
  <c r="K270" i="68"/>
  <c r="K271" i="68"/>
  <c r="K272" i="68"/>
  <c r="K273" i="68"/>
  <c r="K274" i="68"/>
  <c r="K275" i="68"/>
  <c r="K276" i="68"/>
  <c r="K277" i="68"/>
  <c r="K278" i="68"/>
  <c r="K279" i="68"/>
  <c r="K280" i="68"/>
  <c r="K281" i="68"/>
  <c r="K282" i="68"/>
  <c r="K283" i="68"/>
  <c r="K284" i="68"/>
  <c r="K285" i="68"/>
  <c r="K286" i="68"/>
  <c r="K287" i="68"/>
  <c r="K288" i="68"/>
  <c r="K289" i="68"/>
  <c r="K290" i="68"/>
  <c r="K291" i="68"/>
  <c r="K292" i="68"/>
  <c r="K293" i="68"/>
  <c r="K294" i="68"/>
  <c r="K295" i="68"/>
  <c r="K296" i="68"/>
  <c r="K297" i="68"/>
  <c r="K298" i="68"/>
  <c r="K299" i="68"/>
  <c r="K300" i="68"/>
  <c r="K301" i="68"/>
  <c r="K302" i="68"/>
  <c r="K303" i="68"/>
  <c r="K304" i="68"/>
  <c r="K305" i="68"/>
  <c r="K306" i="68"/>
  <c r="K307" i="68"/>
  <c r="K308" i="68"/>
  <c r="K309" i="68"/>
  <c r="K310" i="68"/>
  <c r="K311" i="68"/>
  <c r="K312" i="68"/>
  <c r="K313" i="68"/>
  <c r="K314" i="68"/>
  <c r="K315" i="68"/>
  <c r="K316" i="68"/>
  <c r="K317" i="68"/>
  <c r="K318" i="68"/>
  <c r="K319" i="68"/>
  <c r="K320" i="68"/>
  <c r="K321" i="68"/>
  <c r="K322" i="68"/>
  <c r="J200" i="68"/>
  <c r="J188" i="68"/>
  <c r="J183" i="68"/>
  <c r="Q183" i="68" s="1"/>
  <c r="J182" i="68"/>
  <c r="J178" i="68"/>
  <c r="A178" i="68" s="1"/>
  <c r="J170" i="68"/>
  <c r="J153" i="68"/>
  <c r="J152" i="68"/>
  <c r="J136" i="68"/>
  <c r="J131" i="68"/>
  <c r="J129" i="68"/>
  <c r="J114" i="68"/>
  <c r="A114" i="68" s="1"/>
  <c r="J256" i="68"/>
  <c r="J255" i="68"/>
  <c r="Q255" i="68" s="1"/>
  <c r="J253" i="68"/>
  <c r="Q253" i="68" s="1"/>
  <c r="J67" i="68"/>
  <c r="J66" i="68"/>
  <c r="J68" i="68"/>
  <c r="Q68" i="68" s="1"/>
  <c r="J16" i="68"/>
  <c r="A16" i="68" s="1"/>
  <c r="J17" i="68"/>
  <c r="A17" i="68" s="1"/>
  <c r="J18" i="68"/>
  <c r="A18" i="68" s="1"/>
  <c r="J19" i="68"/>
  <c r="A19" i="68" s="1"/>
  <c r="J20" i="68"/>
  <c r="A20" i="68" s="1"/>
  <c r="J21" i="68"/>
  <c r="A21" i="68" s="1"/>
  <c r="J22" i="68"/>
  <c r="A22" i="68" s="1"/>
  <c r="J23" i="68"/>
  <c r="A23" i="68" s="1"/>
  <c r="J24" i="68"/>
  <c r="A24" i="68" s="1"/>
  <c r="J28" i="68"/>
  <c r="A28" i="68" s="1"/>
  <c r="J29" i="68"/>
  <c r="A29" i="68" s="1"/>
  <c r="J30" i="68"/>
  <c r="A30" i="68" s="1"/>
  <c r="J34" i="68"/>
  <c r="A34" i="68" s="1"/>
  <c r="J35" i="68"/>
  <c r="A35" i="68" s="1"/>
  <c r="J36" i="68"/>
  <c r="A36" i="68" s="1"/>
  <c r="J40" i="68"/>
  <c r="A40" i="68" s="1"/>
  <c r="J41" i="68"/>
  <c r="A41" i="68" s="1"/>
  <c r="J42" i="68"/>
  <c r="A42" i="68" s="1"/>
  <c r="J44" i="68"/>
  <c r="A44" i="68" s="1"/>
  <c r="J45" i="68"/>
  <c r="A45" i="68" s="1"/>
  <c r="J46" i="68"/>
  <c r="A46" i="68" s="1"/>
  <c r="J47" i="68"/>
  <c r="A47" i="68" s="1"/>
  <c r="J48" i="68"/>
  <c r="A48" i="68" s="1"/>
  <c r="J50" i="68"/>
  <c r="A50" i="68" s="1"/>
  <c r="J52" i="68"/>
  <c r="A52" i="68" s="1"/>
  <c r="J53" i="68"/>
  <c r="A53" i="68" s="1"/>
  <c r="J54" i="68"/>
  <c r="A54" i="68" s="1"/>
  <c r="J56" i="68"/>
  <c r="A56" i="68" s="1"/>
  <c r="J57" i="68"/>
  <c r="A57" i="68" s="1"/>
  <c r="J58" i="68"/>
  <c r="A58" i="68" s="1"/>
  <c r="J59" i="68"/>
  <c r="A59" i="68" s="1"/>
  <c r="J60" i="68"/>
  <c r="J61" i="68"/>
  <c r="A61" i="68" s="1"/>
  <c r="J65" i="68"/>
  <c r="J69" i="68"/>
  <c r="A69" i="68" s="1"/>
  <c r="J70" i="68"/>
  <c r="A70" i="68" s="1"/>
  <c r="J71" i="68"/>
  <c r="J72" i="68"/>
  <c r="J73" i="68"/>
  <c r="A73" i="68" s="1"/>
  <c r="J74" i="68"/>
  <c r="A74" i="68" s="1"/>
  <c r="J75" i="68"/>
  <c r="A75" i="68" s="1"/>
  <c r="J76" i="68"/>
  <c r="A76" i="68" s="1"/>
  <c r="J77" i="68"/>
  <c r="A77" i="68" s="1"/>
  <c r="J78" i="68"/>
  <c r="A78" i="68" s="1"/>
  <c r="J79" i="68"/>
  <c r="A79" i="68" s="1"/>
  <c r="J80" i="68"/>
  <c r="A80" i="68" s="1"/>
  <c r="J81" i="68"/>
  <c r="A81" i="68" s="1"/>
  <c r="J82" i="68"/>
  <c r="A82" i="68" s="1"/>
  <c r="J83" i="68"/>
  <c r="A83" i="68" s="1"/>
  <c r="J84" i="68"/>
  <c r="A84" i="68" s="1"/>
  <c r="J85" i="68"/>
  <c r="A85" i="68" s="1"/>
  <c r="J86" i="68"/>
  <c r="A86" i="68" s="1"/>
  <c r="J87" i="68"/>
  <c r="A87" i="68" s="1"/>
  <c r="J88" i="68"/>
  <c r="A88" i="68" s="1"/>
  <c r="J89" i="68"/>
  <c r="A89" i="68" s="1"/>
  <c r="J90" i="68"/>
  <c r="A90" i="68" s="1"/>
  <c r="J91" i="68"/>
  <c r="A91" i="68" s="1"/>
  <c r="J92" i="68"/>
  <c r="A92" i="68" s="1"/>
  <c r="J93" i="68"/>
  <c r="A93" i="68" s="1"/>
  <c r="J94" i="68"/>
  <c r="J95" i="68"/>
  <c r="A95" i="68" s="1"/>
  <c r="J96" i="68"/>
  <c r="A96" i="68" s="1"/>
  <c r="J97" i="68"/>
  <c r="A97" i="68" s="1"/>
  <c r="J98" i="68"/>
  <c r="A98" i="68" s="1"/>
  <c r="J99" i="68"/>
  <c r="A99" i="68" s="1"/>
  <c r="J100" i="68"/>
  <c r="A100" i="68" s="1"/>
  <c r="J101" i="68"/>
  <c r="A101" i="68" s="1"/>
  <c r="J102" i="68"/>
  <c r="J103" i="68"/>
  <c r="A103" i="68" s="1"/>
  <c r="J104" i="68"/>
  <c r="A104" i="68" s="1"/>
  <c r="J105" i="68"/>
  <c r="A105" i="68" s="1"/>
  <c r="J106" i="68"/>
  <c r="A106" i="68" s="1"/>
  <c r="J107" i="68"/>
  <c r="J108" i="68"/>
  <c r="J109" i="68"/>
  <c r="J110" i="68"/>
  <c r="A110" i="68" s="1"/>
  <c r="J111" i="68"/>
  <c r="A111" i="68" s="1"/>
  <c r="J112" i="68"/>
  <c r="A112" i="68" s="1"/>
  <c r="J113" i="68"/>
  <c r="A113" i="68" s="1"/>
  <c r="J115" i="68"/>
  <c r="J116" i="68"/>
  <c r="A116" i="68" s="1"/>
  <c r="J117" i="68"/>
  <c r="A117" i="68" s="1"/>
  <c r="J118" i="68"/>
  <c r="A118" i="68" s="1"/>
  <c r="J119" i="68"/>
  <c r="A119" i="68" s="1"/>
  <c r="J120" i="68"/>
  <c r="J121" i="68"/>
  <c r="J122" i="68"/>
  <c r="J123" i="68"/>
  <c r="J124" i="68"/>
  <c r="J125" i="68"/>
  <c r="A125" i="68" s="1"/>
  <c r="J126" i="68"/>
  <c r="A126" i="68" s="1"/>
  <c r="J127" i="68"/>
  <c r="A127" i="68" s="1"/>
  <c r="A128" i="68"/>
  <c r="J130" i="68"/>
  <c r="J132" i="68"/>
  <c r="A132" i="68" s="1"/>
  <c r="J133" i="68"/>
  <c r="A133" i="68" s="1"/>
  <c r="J134" i="68"/>
  <c r="A134" i="68" s="1"/>
  <c r="J135" i="68"/>
  <c r="J137" i="68"/>
  <c r="A137" i="68" s="1"/>
  <c r="J138" i="68"/>
  <c r="A138" i="68" s="1"/>
  <c r="J139" i="68"/>
  <c r="A139" i="68" s="1"/>
  <c r="J140" i="68"/>
  <c r="A140" i="68" s="1"/>
  <c r="J141" i="68"/>
  <c r="A141" i="68" s="1"/>
  <c r="J142" i="68"/>
  <c r="A142" i="68" s="1"/>
  <c r="J143" i="68"/>
  <c r="A143" i="68" s="1"/>
  <c r="J144" i="68"/>
  <c r="A144" i="68" s="1"/>
  <c r="J145" i="68"/>
  <c r="A145" i="68" s="1"/>
  <c r="J146" i="68"/>
  <c r="A146" i="68" s="1"/>
  <c r="J147" i="68"/>
  <c r="A147" i="68" s="1"/>
  <c r="J148" i="68"/>
  <c r="A148" i="68" s="1"/>
  <c r="J149" i="68"/>
  <c r="A149" i="68" s="1"/>
  <c r="J150" i="68"/>
  <c r="A150" i="68" s="1"/>
  <c r="J151" i="68"/>
  <c r="J154" i="68"/>
  <c r="A154" i="68" s="1"/>
  <c r="J155" i="68"/>
  <c r="A155" i="68" s="1"/>
  <c r="J156" i="68"/>
  <c r="A156" i="68" s="1"/>
  <c r="J157" i="68"/>
  <c r="A157" i="68" s="1"/>
  <c r="J158" i="68"/>
  <c r="A158" i="68" s="1"/>
  <c r="J159" i="68"/>
  <c r="A159" i="68" s="1"/>
  <c r="J160" i="68"/>
  <c r="A160" i="68" s="1"/>
  <c r="J161" i="68"/>
  <c r="A161" i="68" s="1"/>
  <c r="J162" i="68"/>
  <c r="A162" i="68" s="1"/>
  <c r="J163" i="68"/>
  <c r="A163" i="68" s="1"/>
  <c r="J164" i="68"/>
  <c r="A164" i="68" s="1"/>
  <c r="J165" i="68"/>
  <c r="A165" i="68" s="1"/>
  <c r="J166" i="68"/>
  <c r="A166" i="68" s="1"/>
  <c r="J167" i="68"/>
  <c r="A167" i="68" s="1"/>
  <c r="J168" i="68"/>
  <c r="A168" i="68" s="1"/>
  <c r="J169" i="68"/>
  <c r="A169" i="68" s="1"/>
  <c r="J171" i="68"/>
  <c r="A171" i="68" s="1"/>
  <c r="J172" i="68"/>
  <c r="A172" i="68" s="1"/>
  <c r="J173" i="68"/>
  <c r="A173" i="68" s="1"/>
  <c r="J174" i="68"/>
  <c r="A174" i="68" s="1"/>
  <c r="J175" i="68"/>
  <c r="J176" i="68"/>
  <c r="J177" i="68"/>
  <c r="J179" i="68"/>
  <c r="A179" i="68" s="1"/>
  <c r="J180" i="68"/>
  <c r="A180" i="68" s="1"/>
  <c r="J181" i="68"/>
  <c r="A181" i="68" s="1"/>
  <c r="J184" i="68"/>
  <c r="A184" i="68" s="1"/>
  <c r="J185" i="68"/>
  <c r="A185" i="68" s="1"/>
  <c r="J186" i="68"/>
  <c r="A186" i="68" s="1"/>
  <c r="A187" i="68"/>
  <c r="J189" i="68"/>
  <c r="A189" i="68" s="1"/>
  <c r="J190" i="68"/>
  <c r="A190" i="68" s="1"/>
  <c r="J191" i="68"/>
  <c r="A191" i="68" s="1"/>
  <c r="J192" i="68"/>
  <c r="A192" i="68" s="1"/>
  <c r="J193" i="68"/>
  <c r="J194" i="68"/>
  <c r="A194" i="68" s="1"/>
  <c r="J195" i="68"/>
  <c r="A195" i="68" s="1"/>
  <c r="J196" i="68"/>
  <c r="A196" i="68" s="1"/>
  <c r="J197" i="68"/>
  <c r="A197" i="68" s="1"/>
  <c r="J198" i="68"/>
  <c r="A198" i="68" s="1"/>
  <c r="J199" i="68"/>
  <c r="J201" i="68"/>
  <c r="A201" i="68" s="1"/>
  <c r="J202" i="68"/>
  <c r="A202" i="68" s="1"/>
  <c r="J203" i="68"/>
  <c r="A203" i="68" s="1"/>
  <c r="J204" i="68"/>
  <c r="A204" i="68" s="1"/>
  <c r="J205" i="68"/>
  <c r="A205" i="68" s="1"/>
  <c r="J206" i="68"/>
  <c r="J207" i="68"/>
  <c r="J208" i="68"/>
  <c r="J209" i="68"/>
  <c r="J210" i="68"/>
  <c r="A210" i="68" s="1"/>
  <c r="J211" i="68"/>
  <c r="A211" i="68" s="1"/>
  <c r="J212" i="68"/>
  <c r="A212" i="68" s="1"/>
  <c r="J213" i="68"/>
  <c r="A213" i="68" s="1"/>
  <c r="J214" i="68"/>
  <c r="J215" i="68"/>
  <c r="A215" i="68" s="1"/>
  <c r="J216" i="68"/>
  <c r="A216" i="68" s="1"/>
  <c r="J217" i="68"/>
  <c r="A217" i="68" s="1"/>
  <c r="J218" i="68"/>
  <c r="A218" i="68" s="1"/>
  <c r="J219" i="68"/>
  <c r="A219" i="68" s="1"/>
  <c r="J220" i="68"/>
  <c r="A220" i="68" s="1"/>
  <c r="J221" i="68"/>
  <c r="A221" i="68" s="1"/>
  <c r="J222" i="68"/>
  <c r="A222" i="68" s="1"/>
  <c r="J223" i="68"/>
  <c r="A223" i="68" s="1"/>
  <c r="J224" i="68"/>
  <c r="A224" i="68" s="1"/>
  <c r="J225" i="68"/>
  <c r="A225" i="68" s="1"/>
  <c r="J226" i="68"/>
  <c r="A226" i="68" s="1"/>
  <c r="J227" i="68"/>
  <c r="J228" i="68"/>
  <c r="A228" i="68" s="1"/>
  <c r="J229" i="68"/>
  <c r="A229" i="68" s="1"/>
  <c r="J230" i="68"/>
  <c r="J231" i="68"/>
  <c r="A231" i="68" s="1"/>
  <c r="J233" i="68"/>
  <c r="A233" i="68" s="1"/>
  <c r="J234" i="68"/>
  <c r="A234" i="68" s="1"/>
  <c r="J236" i="68"/>
  <c r="A236" i="68" s="1"/>
  <c r="J237" i="68"/>
  <c r="A237" i="68" s="1"/>
  <c r="J238" i="68"/>
  <c r="A238" i="68" s="1"/>
  <c r="J239" i="68"/>
  <c r="A239" i="68" s="1"/>
  <c r="J240" i="68"/>
  <c r="A240" i="68" s="1"/>
  <c r="J242" i="68"/>
  <c r="J243" i="68"/>
  <c r="A243" i="68" s="1"/>
  <c r="J247" i="68"/>
  <c r="J248" i="68"/>
  <c r="A248" i="68" s="1"/>
  <c r="J249" i="68"/>
  <c r="A249" i="68" s="1"/>
  <c r="J250" i="68"/>
  <c r="A250" i="68" s="1"/>
  <c r="J251" i="68"/>
  <c r="A251" i="68" s="1"/>
  <c r="J252" i="68"/>
  <c r="A252" i="68" s="1"/>
  <c r="J254" i="68"/>
  <c r="A254" i="68" s="1"/>
  <c r="J257" i="68"/>
  <c r="N257" i="68" s="1"/>
  <c r="P257" i="68" s="1"/>
  <c r="U257" i="68" s="1"/>
  <c r="J258" i="68"/>
  <c r="A258" i="68" s="1"/>
  <c r="J259" i="68"/>
  <c r="A259" i="68" s="1"/>
  <c r="J260" i="68"/>
  <c r="A260" i="68" s="1"/>
  <c r="J261" i="68"/>
  <c r="A261" i="68" s="1"/>
  <c r="J262" i="68"/>
  <c r="N262" i="68" s="1"/>
  <c r="P262" i="68" s="1"/>
  <c r="U262" i="68" s="1"/>
  <c r="J263" i="68"/>
  <c r="N263" i="68" s="1"/>
  <c r="P263" i="68" s="1"/>
  <c r="U263" i="68" s="1"/>
  <c r="J264" i="68"/>
  <c r="A264" i="68" s="1"/>
  <c r="J265" i="68"/>
  <c r="A265" i="68" s="1"/>
  <c r="J266" i="68"/>
  <c r="J267" i="68"/>
  <c r="J268" i="68"/>
  <c r="Q268" i="68" s="1"/>
  <c r="J269" i="68"/>
  <c r="Q269" i="68" s="1"/>
  <c r="J270" i="68"/>
  <c r="Q270" i="68" s="1"/>
  <c r="J271" i="68"/>
  <c r="A271" i="68" s="1"/>
  <c r="J272" i="68"/>
  <c r="N272" i="68" s="1"/>
  <c r="P272" i="68" s="1"/>
  <c r="U272" i="68" s="1"/>
  <c r="J273" i="68"/>
  <c r="N273" i="68" s="1"/>
  <c r="P273" i="68" s="1"/>
  <c r="U273" i="68" s="1"/>
  <c r="J274" i="68"/>
  <c r="J276" i="68"/>
  <c r="A276" i="68" s="1"/>
  <c r="J277" i="68"/>
  <c r="A277" i="68" s="1"/>
  <c r="J278" i="68"/>
  <c r="N278" i="68" s="1"/>
  <c r="P278" i="68" s="1"/>
  <c r="U278" i="68" s="1"/>
  <c r="J279" i="68"/>
  <c r="A279" i="68" s="1"/>
  <c r="J280" i="68"/>
  <c r="Q280" i="68" s="1"/>
  <c r="J281" i="68"/>
  <c r="Q281" i="68" s="1"/>
  <c r="J282" i="68"/>
  <c r="A282" i="68" s="1"/>
  <c r="J283" i="68"/>
  <c r="A283" i="68" s="1"/>
  <c r="J284" i="68"/>
  <c r="A284" i="68" s="1"/>
  <c r="J285" i="68"/>
  <c r="A285" i="68" s="1"/>
  <c r="J286" i="68"/>
  <c r="Q286" i="68" s="1"/>
  <c r="J289" i="68"/>
  <c r="N289" i="68" s="1"/>
  <c r="P289" i="68" s="1"/>
  <c r="U289" i="68" s="1"/>
  <c r="J290" i="68"/>
  <c r="A290" i="68" s="1"/>
  <c r="J291" i="68"/>
  <c r="A291" i="68" s="1"/>
  <c r="J292" i="68"/>
  <c r="N292" i="68" s="1"/>
  <c r="J293" i="68"/>
  <c r="N293" i="68" s="1"/>
  <c r="P293" i="68" s="1"/>
  <c r="U293" i="68" s="1"/>
  <c r="J294" i="68"/>
  <c r="N294" i="68" s="1"/>
  <c r="P294" i="68" s="1"/>
  <c r="U294" i="68" s="1"/>
  <c r="J295" i="68"/>
  <c r="N295" i="68" s="1"/>
  <c r="P295" i="68" s="1"/>
  <c r="U295" i="68" s="1"/>
  <c r="J296" i="68"/>
  <c r="J298" i="68"/>
  <c r="A298" i="68" s="1"/>
  <c r="J299" i="68"/>
  <c r="A299" i="68" s="1"/>
  <c r="J300" i="68"/>
  <c r="A300" i="68" s="1"/>
  <c r="J308" i="68"/>
  <c r="Q308" i="68" s="1"/>
  <c r="J310" i="68"/>
  <c r="N310" i="68" s="1"/>
  <c r="P310" i="68" s="1"/>
  <c r="U310" i="68" s="1"/>
  <c r="J311" i="68"/>
  <c r="N311" i="68" s="1"/>
  <c r="P311" i="68" s="1"/>
  <c r="U311" i="68" s="1"/>
  <c r="J312" i="68"/>
  <c r="N312" i="68" s="1"/>
  <c r="P312" i="68" s="1"/>
  <c r="U312" i="68" s="1"/>
  <c r="J313" i="68"/>
  <c r="J314" i="68"/>
  <c r="J315" i="68"/>
  <c r="J316" i="68"/>
  <c r="A316" i="68" s="1"/>
  <c r="J317" i="68"/>
  <c r="A317" i="68" s="1"/>
  <c r="J318" i="68"/>
  <c r="A318" i="68" s="1"/>
  <c r="J320" i="68"/>
  <c r="A320" i="68" s="1"/>
  <c r="J321" i="68"/>
  <c r="N321" i="68" s="1"/>
  <c r="P321" i="68" s="1"/>
  <c r="U321" i="68" s="1"/>
  <c r="J322" i="68"/>
  <c r="N322" i="68" s="1"/>
  <c r="P322" i="68" s="1"/>
  <c r="U322" i="68" s="1"/>
  <c r="J307" i="68"/>
  <c r="J306" i="68"/>
  <c r="J305" i="68"/>
  <c r="J304" i="68"/>
  <c r="Q304" i="68" s="1"/>
  <c r="J303" i="68"/>
  <c r="Q303" i="68" s="1"/>
  <c r="J302" i="68"/>
  <c r="Q302" i="68" s="1"/>
  <c r="J301" i="68"/>
  <c r="Q301" i="68" s="1"/>
  <c r="J297" i="68"/>
  <c r="J288" i="68"/>
  <c r="J287" i="68"/>
  <c r="J275" i="68"/>
  <c r="Q275" i="68" s="1"/>
  <c r="J246" i="68"/>
  <c r="Q246" i="68" s="1"/>
  <c r="J245" i="68"/>
  <c r="Q245" i="68" s="1"/>
  <c r="J244" i="68"/>
  <c r="Q244" i="68" s="1"/>
  <c r="J241" i="68"/>
  <c r="Q241" i="68" s="1"/>
  <c r="J235" i="68"/>
  <c r="Q235" i="68" s="1"/>
  <c r="J232" i="68"/>
  <c r="Q232" i="68" s="1"/>
  <c r="J319" i="68"/>
  <c r="J64" i="68"/>
  <c r="Q64" i="68" s="1"/>
  <c r="J63" i="68"/>
  <c r="Q63" i="68" s="1"/>
  <c r="J62" i="68"/>
  <c r="Q62" i="68" s="1"/>
  <c r="J55" i="68"/>
  <c r="J49" i="68"/>
  <c r="J51" i="68"/>
  <c r="J43" i="68"/>
  <c r="J39" i="68"/>
  <c r="J38" i="68"/>
  <c r="J37" i="68"/>
  <c r="J33" i="68"/>
  <c r="J32" i="68"/>
  <c r="J31" i="68"/>
  <c r="J27" i="68"/>
  <c r="Q27" i="68" s="1"/>
  <c r="J26" i="68"/>
  <c r="Q26" i="68" s="1"/>
  <c r="J25" i="68"/>
  <c r="H167" i="76"/>
  <c r="H164" i="76"/>
  <c r="H162" i="76"/>
  <c r="H161" i="76"/>
  <c r="H160" i="76"/>
  <c r="H159" i="76"/>
  <c r="H156" i="76"/>
  <c r="H145" i="76"/>
  <c r="H144" i="76"/>
  <c r="H143" i="76"/>
  <c r="H139" i="76"/>
  <c r="H129" i="76"/>
  <c r="H124" i="76"/>
  <c r="H114" i="76"/>
  <c r="H110" i="76"/>
  <c r="H109" i="76"/>
  <c r="H107" i="76"/>
  <c r="H104" i="76"/>
  <c r="H97" i="76"/>
  <c r="H95" i="76"/>
  <c r="H88" i="76"/>
  <c r="H86" i="76"/>
  <c r="H81" i="76"/>
  <c r="H77" i="76"/>
  <c r="H72" i="76"/>
  <c r="H71" i="76"/>
  <c r="H69" i="76"/>
  <c r="H68" i="76"/>
  <c r="H62" i="76"/>
  <c r="H60" i="76"/>
  <c r="H59" i="76"/>
  <c r="H58" i="76"/>
  <c r="H53" i="76"/>
  <c r="H45" i="76"/>
  <c r="H44" i="76"/>
  <c r="H42" i="76"/>
  <c r="C23" i="72"/>
  <c r="I309" i="68"/>
  <c r="I306" i="68"/>
  <c r="I304" i="68"/>
  <c r="I303" i="68"/>
  <c r="I302" i="68"/>
  <c r="I301" i="68"/>
  <c r="I292" i="68"/>
  <c r="I267" i="68"/>
  <c r="I266" i="68"/>
  <c r="I261" i="68"/>
  <c r="I249" i="68"/>
  <c r="I234" i="68"/>
  <c r="I227" i="68"/>
  <c r="I214" i="68"/>
  <c r="I206" i="68"/>
  <c r="I205" i="68"/>
  <c r="I199" i="68"/>
  <c r="I177" i="68"/>
  <c r="I175" i="68"/>
  <c r="I151" i="68"/>
  <c r="I147" i="68"/>
  <c r="I135" i="68"/>
  <c r="I128" i="68"/>
  <c r="I123" i="68"/>
  <c r="I122" i="68"/>
  <c r="I120" i="68"/>
  <c r="I115" i="68"/>
  <c r="I109" i="68"/>
  <c r="I102" i="68"/>
  <c r="I98" i="68"/>
  <c r="I71" i="68"/>
  <c r="I62" i="68"/>
  <c r="I60" i="68"/>
  <c r="I54" i="68"/>
  <c r="S66" i="68" l="1"/>
  <c r="A313" i="68"/>
  <c r="Q313" i="68"/>
  <c r="A306" i="68"/>
  <c r="Q306" i="68"/>
  <c r="N307" i="68"/>
  <c r="Q307" i="68"/>
  <c r="N308" i="68"/>
  <c r="N319" i="68"/>
  <c r="Q319" i="68"/>
  <c r="A315" i="68"/>
  <c r="Q315" i="68"/>
  <c r="A314" i="68"/>
  <c r="Q314" i="68"/>
  <c r="N305" i="68"/>
  <c r="Q305" i="68"/>
  <c r="A208" i="68"/>
  <c r="Q208" i="68"/>
  <c r="A280" i="68"/>
  <c r="A207" i="68"/>
  <c r="Q207" i="68"/>
  <c r="N267" i="68"/>
  <c r="Q267" i="68"/>
  <c r="A60" i="68"/>
  <c r="Q60" i="68"/>
  <c r="A230" i="68"/>
  <c r="Q230" i="68"/>
  <c r="A193" i="68"/>
  <c r="Q193" i="68"/>
  <c r="A247" i="68"/>
  <c r="Q247" i="68"/>
  <c r="A242" i="68"/>
  <c r="Q242" i="68"/>
  <c r="A227" i="68"/>
  <c r="Q227" i="68"/>
  <c r="A71" i="68"/>
  <c r="Q71" i="68"/>
  <c r="A153" i="68"/>
  <c r="Q153" i="68"/>
  <c r="A94" i="68"/>
  <c r="Q94" i="68"/>
  <c r="A286" i="68"/>
  <c r="A72" i="68"/>
  <c r="Q72" i="68"/>
  <c r="N270" i="68"/>
  <c r="P270" i="68" s="1"/>
  <c r="A269" i="68"/>
  <c r="A130" i="68"/>
  <c r="Q130" i="68"/>
  <c r="A65" i="68"/>
  <c r="A182" i="68"/>
  <c r="Q182" i="68"/>
  <c r="N274" i="68"/>
  <c r="Q274" i="68"/>
  <c r="N296" i="68"/>
  <c r="Q296" i="68"/>
  <c r="A281" i="68"/>
  <c r="A268" i="68"/>
  <c r="N266" i="68"/>
  <c r="P266" i="68" s="1"/>
  <c r="Q266" i="68"/>
  <c r="A209" i="68"/>
  <c r="Q209" i="68"/>
  <c r="A256" i="68"/>
  <c r="Q256" i="68"/>
  <c r="A214" i="68"/>
  <c r="Q214" i="68"/>
  <c r="A206" i="68"/>
  <c r="Q206" i="68"/>
  <c r="A177" i="68"/>
  <c r="Q177" i="68"/>
  <c r="A176" i="68"/>
  <c r="Q176" i="68"/>
  <c r="A199" i="68"/>
  <c r="Q199" i="68"/>
  <c r="A175" i="68"/>
  <c r="Q175" i="68"/>
  <c r="A200" i="68"/>
  <c r="Q200" i="68"/>
  <c r="A151" i="68"/>
  <c r="Q151" i="68"/>
  <c r="A135" i="68"/>
  <c r="Q135" i="68"/>
  <c r="A124" i="68"/>
  <c r="Q124" i="68"/>
  <c r="A122" i="68"/>
  <c r="Q122" i="68"/>
  <c r="A121" i="68"/>
  <c r="Q121" i="68"/>
  <c r="A120" i="68"/>
  <c r="Q120" i="68"/>
  <c r="A115" i="68"/>
  <c r="Q115" i="68"/>
  <c r="A123" i="68"/>
  <c r="Q123" i="68"/>
  <c r="A109" i="68"/>
  <c r="Q109" i="68"/>
  <c r="A108" i="68"/>
  <c r="Q108" i="68"/>
  <c r="A107" i="68"/>
  <c r="Q107" i="68"/>
  <c r="A102" i="68"/>
  <c r="Q102" i="68"/>
  <c r="N99" i="68"/>
  <c r="P99" i="68" s="1"/>
  <c r="U99" i="68" s="1"/>
  <c r="N29" i="68"/>
  <c r="P29" i="68" s="1"/>
  <c r="U29" i="68" s="1"/>
  <c r="N249" i="68"/>
  <c r="N224" i="68"/>
  <c r="P224" i="68" s="1"/>
  <c r="U224" i="68" s="1"/>
  <c r="N227" i="68"/>
  <c r="N104" i="68"/>
  <c r="P104" i="68" s="1"/>
  <c r="U104" i="68" s="1"/>
  <c r="N85" i="68"/>
  <c r="P85" i="68" s="1"/>
  <c r="U85" i="68" s="1"/>
  <c r="N217" i="68"/>
  <c r="P217" i="68" s="1"/>
  <c r="N137" i="68"/>
  <c r="N122" i="68"/>
  <c r="P122" i="68" s="1"/>
  <c r="N73" i="68"/>
  <c r="P73" i="68" s="1"/>
  <c r="U73" i="68" s="1"/>
  <c r="N18" i="68"/>
  <c r="P18" i="68" s="1"/>
  <c r="U18" i="68" s="1"/>
  <c r="N48" i="68"/>
  <c r="P48" i="68" s="1"/>
  <c r="U48" i="68" s="1"/>
  <c r="N105" i="68"/>
  <c r="P105" i="68" s="1"/>
  <c r="U105" i="68" s="1"/>
  <c r="N54" i="68"/>
  <c r="N171" i="68"/>
  <c r="P171" i="68" s="1"/>
  <c r="U171" i="68" s="1"/>
  <c r="N240" i="68"/>
  <c r="P240" i="68" s="1"/>
  <c r="U240" i="68" s="1"/>
  <c r="N121" i="68"/>
  <c r="P121" i="68" s="1"/>
  <c r="N22" i="68"/>
  <c r="P22" i="68" s="1"/>
  <c r="U22" i="68" s="1"/>
  <c r="N140" i="68"/>
  <c r="P140" i="68" s="1"/>
  <c r="U140" i="68" s="1"/>
  <c r="N234" i="68"/>
  <c r="N204" i="68"/>
  <c r="P204" i="68" s="1"/>
  <c r="U204" i="68" s="1"/>
  <c r="N89" i="68"/>
  <c r="P89" i="68" s="1"/>
  <c r="U89" i="68" s="1"/>
  <c r="N103" i="68"/>
  <c r="P103" i="68" s="1"/>
  <c r="U103" i="68" s="1"/>
  <c r="N135" i="68"/>
  <c r="N221" i="68"/>
  <c r="N211" i="68"/>
  <c r="P211" i="68" s="1"/>
  <c r="U211" i="68" s="1"/>
  <c r="N61" i="68"/>
  <c r="P61" i="68" s="1"/>
  <c r="U61" i="68" s="1"/>
  <c r="N196" i="68"/>
  <c r="P196" i="68" s="1"/>
  <c r="U196" i="68" s="1"/>
  <c r="N108" i="68"/>
  <c r="P108" i="68" s="1"/>
  <c r="N177" i="68"/>
  <c r="N72" i="68"/>
  <c r="P72" i="68" s="1"/>
  <c r="N141" i="68"/>
  <c r="P141" i="68" s="1"/>
  <c r="U141" i="68" s="1"/>
  <c r="N202" i="68"/>
  <c r="P202" i="68" s="1"/>
  <c r="U202" i="68" s="1"/>
  <c r="N53" i="68"/>
  <c r="P53" i="68" s="1"/>
  <c r="U53" i="68" s="1"/>
  <c r="N169" i="68"/>
  <c r="N206" i="68"/>
  <c r="P206" i="68" s="1"/>
  <c r="N157" i="68"/>
  <c r="P157" i="68" s="1"/>
  <c r="U157" i="68" s="1"/>
  <c r="N101" i="68"/>
  <c r="P101" i="68" s="1"/>
  <c r="U101" i="68" s="1"/>
  <c r="N209" i="68"/>
  <c r="P209" i="68" s="1"/>
  <c r="N21" i="68"/>
  <c r="P21" i="68" s="1"/>
  <c r="U21" i="68" s="1"/>
  <c r="N123" i="68"/>
  <c r="P123" i="68" s="1"/>
  <c r="N154" i="68"/>
  <c r="P154" i="68" s="1"/>
  <c r="U154" i="68" s="1"/>
  <c r="N195" i="68"/>
  <c r="N124" i="68"/>
  <c r="P124" i="68" s="1"/>
  <c r="N156" i="68"/>
  <c r="P156" i="68" s="1"/>
  <c r="U156" i="68" s="1"/>
  <c r="N222" i="68"/>
  <c r="N23" i="68"/>
  <c r="P23" i="68" s="1"/>
  <c r="U23" i="68" s="1"/>
  <c r="N184" i="68"/>
  <c r="P184" i="68" s="1"/>
  <c r="U184" i="68" s="1"/>
  <c r="N264" i="68"/>
  <c r="P264" i="68" s="1"/>
  <c r="U264" i="68" s="1"/>
  <c r="N76" i="68"/>
  <c r="P76" i="68" s="1"/>
  <c r="U76" i="68" s="1"/>
  <c r="N41" i="68"/>
  <c r="P41" i="68" s="1"/>
  <c r="U41" i="68" s="1"/>
  <c r="N168" i="68"/>
  <c r="P168" i="68" s="1"/>
  <c r="U168" i="68" s="1"/>
  <c r="N165" i="68"/>
  <c r="P165" i="68" s="1"/>
  <c r="U165" i="68" s="1"/>
  <c r="N87" i="68"/>
  <c r="P87" i="68" s="1"/>
  <c r="U87" i="68" s="1"/>
  <c r="N151" i="68"/>
  <c r="N88" i="68"/>
  <c r="P88" i="68" s="1"/>
  <c r="U88" i="68" s="1"/>
  <c r="N139" i="68"/>
  <c r="P139" i="68" s="1"/>
  <c r="U139" i="68" s="1"/>
  <c r="N173" i="68"/>
  <c r="P173" i="68" s="1"/>
  <c r="U173" i="68" s="1"/>
  <c r="N225" i="68"/>
  <c r="P225" i="68" s="1"/>
  <c r="U225" i="68" s="1"/>
  <c r="N120" i="68"/>
  <c r="P120" i="68" s="1"/>
  <c r="N47" i="68"/>
  <c r="P47" i="68" s="1"/>
  <c r="U47" i="68" s="1"/>
  <c r="N144" i="68"/>
  <c r="P144" i="68" s="1"/>
  <c r="U144" i="68" s="1"/>
  <c r="N83" i="68"/>
  <c r="P83" i="68" s="1"/>
  <c r="U83" i="68" s="1"/>
  <c r="N16" i="68"/>
  <c r="P16" i="68" s="1"/>
  <c r="U16" i="68" s="1"/>
  <c r="N213" i="68"/>
  <c r="P213" i="68" s="1"/>
  <c r="U213" i="68" s="1"/>
  <c r="N248" i="68"/>
  <c r="P248" i="68" s="1"/>
  <c r="U248" i="68" s="1"/>
  <c r="N190" i="68"/>
  <c r="P190" i="68" s="1"/>
  <c r="U190" i="68" s="1"/>
  <c r="N92" i="68"/>
  <c r="P92" i="68" s="1"/>
  <c r="U92" i="68" s="1"/>
  <c r="N117" i="68"/>
  <c r="P117" i="68" s="1"/>
  <c r="U117" i="68" s="1"/>
  <c r="N65" i="68"/>
  <c r="P65" i="68" s="1"/>
  <c r="N258" i="68"/>
  <c r="P258" i="68" s="1"/>
  <c r="U258" i="68" s="1"/>
  <c r="N118" i="68"/>
  <c r="P118" i="68" s="1"/>
  <c r="U118" i="68" s="1"/>
  <c r="N28" i="68"/>
  <c r="P28" i="68" s="1"/>
  <c r="U28" i="68" s="1"/>
  <c r="N69" i="68"/>
  <c r="P69" i="68" s="1"/>
  <c r="U69" i="68" s="1"/>
  <c r="N201" i="68"/>
  <c r="P201" i="68" s="1"/>
  <c r="U201" i="68" s="1"/>
  <c r="N19" i="68"/>
  <c r="N50" i="68"/>
  <c r="P50" i="68" s="1"/>
  <c r="U50" i="68" s="1"/>
  <c r="N86" i="68"/>
  <c r="P86" i="68" s="1"/>
  <c r="U86" i="68" s="1"/>
  <c r="N115" i="68"/>
  <c r="P115" i="68" s="1"/>
  <c r="N238" i="68"/>
  <c r="N185" i="68"/>
  <c r="P185" i="68" s="1"/>
  <c r="U185" i="68" s="1"/>
  <c r="N187" i="68"/>
  <c r="N259" i="68"/>
  <c r="P259" i="68" s="1"/>
  <c r="U259" i="68" s="1"/>
  <c r="N220" i="68"/>
  <c r="N102" i="68"/>
  <c r="P102" i="68" s="1"/>
  <c r="N155" i="68"/>
  <c r="P155" i="68" s="1"/>
  <c r="U155" i="68" s="1"/>
  <c r="N74" i="68"/>
  <c r="P74" i="68" s="1"/>
  <c r="U74" i="68" s="1"/>
  <c r="N133" i="68"/>
  <c r="P133" i="68" s="1"/>
  <c r="U133" i="68" s="1"/>
  <c r="N167" i="68"/>
  <c r="P167" i="68" s="1"/>
  <c r="U167" i="68" s="1"/>
  <c r="N36" i="68"/>
  <c r="N260" i="68"/>
  <c r="P260" i="68" s="1"/>
  <c r="U260" i="68" s="1"/>
  <c r="N78" i="68"/>
  <c r="P78" i="68" s="1"/>
  <c r="U78" i="68" s="1"/>
  <c r="N113" i="68"/>
  <c r="N56" i="68"/>
  <c r="P56" i="68" s="1"/>
  <c r="U56" i="68" s="1"/>
  <c r="N203" i="68"/>
  <c r="P203" i="68" s="1"/>
  <c r="U203" i="68" s="1"/>
  <c r="N163" i="68"/>
  <c r="P163" i="68" s="1"/>
  <c r="N233" i="68"/>
  <c r="N97" i="68"/>
  <c r="P97" i="68" s="1"/>
  <c r="U97" i="68" s="1"/>
  <c r="N30" i="68"/>
  <c r="P30" i="68" s="1"/>
  <c r="U30" i="68" s="1"/>
  <c r="N71" i="68"/>
  <c r="P71" i="68" s="1"/>
  <c r="N46" i="68"/>
  <c r="P46" i="68" s="1"/>
  <c r="U46" i="68" s="1"/>
  <c r="N138" i="68"/>
  <c r="P138" i="68" s="1"/>
  <c r="U138" i="68" s="1"/>
  <c r="N70" i="68"/>
  <c r="N119" i="68"/>
  <c r="P119" i="68" s="1"/>
  <c r="U119" i="68" s="1"/>
  <c r="N172" i="68"/>
  <c r="P172" i="68" s="1"/>
  <c r="U172" i="68" s="1"/>
  <c r="N45" i="68"/>
  <c r="P45" i="68" s="1"/>
  <c r="U45" i="68" s="1"/>
  <c r="N42" i="68"/>
  <c r="P42" i="68" s="1"/>
  <c r="U42" i="68" s="1"/>
  <c r="N17" i="68"/>
  <c r="P17" i="68" s="1"/>
  <c r="U17" i="68" s="1"/>
  <c r="N153" i="68"/>
  <c r="N239" i="68"/>
  <c r="P239" i="68" s="1"/>
  <c r="U239" i="68" s="1"/>
  <c r="N84" i="68"/>
  <c r="P84" i="68" s="1"/>
  <c r="U84" i="68" s="1"/>
  <c r="N189" i="68"/>
  <c r="P189" i="68" s="1"/>
  <c r="U189" i="68" s="1"/>
  <c r="A152" i="68"/>
  <c r="N152" i="68"/>
  <c r="T216" i="68"/>
  <c r="T223" i="68"/>
  <c r="T222" i="68"/>
  <c r="T221" i="68"/>
  <c r="T220" i="68"/>
  <c r="T219" i="68"/>
  <c r="T218" i="68"/>
  <c r="T217" i="68"/>
  <c r="N251" i="68"/>
  <c r="P251" i="68" s="1"/>
  <c r="U251" i="68" s="1"/>
  <c r="N197" i="68"/>
  <c r="P197" i="68" s="1"/>
  <c r="U197" i="68" s="1"/>
  <c r="N80" i="68"/>
  <c r="P80" i="68" s="1"/>
  <c r="U80" i="68" s="1"/>
  <c r="N180" i="68"/>
  <c r="P180" i="68" s="1"/>
  <c r="U180" i="68" s="1"/>
  <c r="N277" i="68"/>
  <c r="P277" i="68" s="1"/>
  <c r="U277" i="68" s="1"/>
  <c r="N216" i="68"/>
  <c r="N200" i="68"/>
  <c r="N149" i="68"/>
  <c r="P149" i="68" s="1"/>
  <c r="U149" i="68" s="1"/>
  <c r="A136" i="68"/>
  <c r="N136" i="68"/>
  <c r="N147" i="68"/>
  <c r="N81" i="68"/>
  <c r="P81" i="68" s="1"/>
  <c r="U81" i="68" s="1"/>
  <c r="N59" i="68"/>
  <c r="P59" i="68" s="1"/>
  <c r="U59" i="68" s="1"/>
  <c r="N125" i="68"/>
  <c r="N226" i="68"/>
  <c r="P226" i="68" s="1"/>
  <c r="U226" i="68" s="1"/>
  <c r="N109" i="68"/>
  <c r="P109" i="68" s="1"/>
  <c r="N112" i="68"/>
  <c r="N128" i="68"/>
  <c r="N96" i="68"/>
  <c r="P96" i="68" s="1"/>
  <c r="U96" i="68" s="1"/>
  <c r="N179" i="68"/>
  <c r="P179" i="68" s="1"/>
  <c r="U179" i="68" s="1"/>
  <c r="N229" i="68"/>
  <c r="P229" i="68" s="1"/>
  <c r="U229" i="68" s="1"/>
  <c r="N199" i="68"/>
  <c r="N215" i="68"/>
  <c r="N148" i="68"/>
  <c r="P148" i="68" s="1"/>
  <c r="U148" i="68" s="1"/>
  <c r="N132" i="68"/>
  <c r="P132" i="68" s="1"/>
  <c r="U132" i="68" s="1"/>
  <c r="N181" i="68"/>
  <c r="P181" i="68" s="1"/>
  <c r="U181" i="68" s="1"/>
  <c r="N82" i="68"/>
  <c r="P82" i="68" s="1"/>
  <c r="U82" i="68" s="1"/>
  <c r="N60" i="68"/>
  <c r="N164" i="68"/>
  <c r="P164" i="68" s="1"/>
  <c r="U164" i="68" s="1"/>
  <c r="N231" i="68"/>
  <c r="N40" i="68"/>
  <c r="P40" i="68" s="1"/>
  <c r="U40" i="68" s="1"/>
  <c r="N254" i="68"/>
  <c r="P254" i="68" s="1"/>
  <c r="U254" i="68" s="1"/>
  <c r="N161" i="68"/>
  <c r="P161" i="68" s="1"/>
  <c r="U161" i="68" s="1"/>
  <c r="N271" i="68"/>
  <c r="P271" i="68" s="1"/>
  <c r="U271" i="68" s="1"/>
  <c r="N145" i="68"/>
  <c r="P145" i="68" s="1"/>
  <c r="U145" i="68" s="1"/>
  <c r="N212" i="68"/>
  <c r="P212" i="68" s="1"/>
  <c r="U212" i="68" s="1"/>
  <c r="A129" i="68"/>
  <c r="N129" i="68"/>
  <c r="A170" i="68"/>
  <c r="N170" i="68"/>
  <c r="A188" i="68"/>
  <c r="N188" i="68"/>
  <c r="N193" i="68"/>
  <c r="P193" i="68" s="1"/>
  <c r="N57" i="68"/>
  <c r="P57" i="68" s="1"/>
  <c r="U57" i="68" s="1"/>
  <c r="N176" i="68"/>
  <c r="N269" i="68"/>
  <c r="N160" i="68"/>
  <c r="P160" i="68" s="1"/>
  <c r="U160" i="68" s="1"/>
  <c r="N247" i="68"/>
  <c r="A68" i="68"/>
  <c r="N68" i="68"/>
  <c r="N34" i="68"/>
  <c r="P34" i="68" s="1"/>
  <c r="U34" i="68" s="1"/>
  <c r="A255" i="68"/>
  <c r="N255" i="68"/>
  <c r="A253" i="68"/>
  <c r="N253" i="68"/>
  <c r="A131" i="68"/>
  <c r="N131" i="68"/>
  <c r="J309" i="68"/>
  <c r="N309" i="68" s="1"/>
  <c r="N174" i="68"/>
  <c r="P174" i="68" s="1"/>
  <c r="U174" i="68" s="1"/>
  <c r="N158" i="68"/>
  <c r="P158" i="68" s="1"/>
  <c r="U158" i="68" s="1"/>
  <c r="N191" i="68"/>
  <c r="P191" i="68" s="1"/>
  <c r="U191" i="68" s="1"/>
  <c r="N110" i="68"/>
  <c r="N142" i="68"/>
  <c r="P142" i="68" s="1"/>
  <c r="U142" i="68" s="1"/>
  <c r="N94" i="68"/>
  <c r="N126" i="68"/>
  <c r="N208" i="68"/>
  <c r="N175" i="68"/>
  <c r="N58" i="68"/>
  <c r="P58" i="68" s="1"/>
  <c r="U58" i="68" s="1"/>
  <c r="N192" i="68"/>
  <c r="P192" i="68" s="1"/>
  <c r="U192" i="68" s="1"/>
  <c r="N35" i="68"/>
  <c r="P35" i="68" s="1"/>
  <c r="U35" i="68" s="1"/>
  <c r="N79" i="68"/>
  <c r="P79" i="68" s="1"/>
  <c r="U79" i="68" s="1"/>
  <c r="N243" i="68"/>
  <c r="N265" i="68"/>
  <c r="P265" i="68" s="1"/>
  <c r="U265" i="68" s="1"/>
  <c r="A183" i="68"/>
  <c r="N183" i="68"/>
  <c r="P183" i="68" s="1"/>
  <c r="U183" i="68" s="1"/>
  <c r="N114" i="68"/>
  <c r="N98" i="68"/>
  <c r="N146" i="68"/>
  <c r="P146" i="68" s="1"/>
  <c r="U146" i="68" s="1"/>
  <c r="N162" i="68"/>
  <c r="P162" i="68" s="1"/>
  <c r="U162" i="68" s="1"/>
  <c r="N194" i="68"/>
  <c r="N210" i="68"/>
  <c r="P210" i="68" s="1"/>
  <c r="U210" i="68" s="1"/>
  <c r="N130" i="68"/>
  <c r="N178" i="68"/>
  <c r="N250" i="68"/>
  <c r="P250" i="68" s="1"/>
  <c r="U250" i="68" s="1"/>
  <c r="N100" i="68"/>
  <c r="P100" i="68" s="1"/>
  <c r="U100" i="68" s="1"/>
  <c r="N116" i="68"/>
  <c r="P116" i="68" s="1"/>
  <c r="U116" i="68" s="1"/>
  <c r="N228" i="68"/>
  <c r="P228" i="68" s="1"/>
  <c r="U228" i="68" s="1"/>
  <c r="N44" i="68"/>
  <c r="P44" i="68" s="1"/>
  <c r="U44" i="68" s="1"/>
  <c r="N134" i="68"/>
  <c r="P134" i="68" s="1"/>
  <c r="U134" i="68" s="1"/>
  <c r="N150" i="68"/>
  <c r="P150" i="68" s="1"/>
  <c r="U150" i="68" s="1"/>
  <c r="N166" i="68"/>
  <c r="P166" i="68" s="1"/>
  <c r="U166" i="68" s="1"/>
  <c r="N268" i="68"/>
  <c r="N252" i="68"/>
  <c r="P252" i="68" s="1"/>
  <c r="U252" i="68" s="1"/>
  <c r="N20" i="68"/>
  <c r="P20" i="68" s="1"/>
  <c r="U20" i="68" s="1"/>
  <c r="N182" i="68"/>
  <c r="P182" i="68" s="1"/>
  <c r="N198" i="68"/>
  <c r="P198" i="68" s="1"/>
  <c r="U198" i="68" s="1"/>
  <c r="N230" i="68"/>
  <c r="N214" i="68"/>
  <c r="N207" i="68"/>
  <c r="N111" i="68"/>
  <c r="N242" i="68"/>
  <c r="N95" i="68"/>
  <c r="P95" i="68" s="1"/>
  <c r="U95" i="68" s="1"/>
  <c r="N127" i="68"/>
  <c r="N143" i="68"/>
  <c r="P143" i="68" s="1"/>
  <c r="U143" i="68" s="1"/>
  <c r="N159" i="68"/>
  <c r="P159" i="68" s="1"/>
  <c r="U159" i="68" s="1"/>
  <c r="N223" i="68"/>
  <c r="N261" i="68"/>
  <c r="N320" i="68"/>
  <c r="P320" i="68" s="1"/>
  <c r="U320" i="68" s="1"/>
  <c r="N186" i="68"/>
  <c r="P186" i="68" s="1"/>
  <c r="U186" i="68" s="1"/>
  <c r="N24" i="68"/>
  <c r="P24" i="68" s="1"/>
  <c r="U24" i="68" s="1"/>
  <c r="N52" i="68"/>
  <c r="P52" i="68" s="1"/>
  <c r="U52" i="68" s="1"/>
  <c r="N256" i="68"/>
  <c r="N218" i="68"/>
  <c r="N90" i="68"/>
  <c r="P90" i="68" s="1"/>
  <c r="U90" i="68" s="1"/>
  <c r="N106" i="68"/>
  <c r="P106" i="68" s="1"/>
  <c r="U106" i="68" s="1"/>
  <c r="N236" i="68"/>
  <c r="P236" i="68" s="1"/>
  <c r="U236" i="68" s="1"/>
  <c r="N290" i="68"/>
  <c r="P290" i="68" s="1"/>
  <c r="U290" i="68" s="1"/>
  <c r="N318" i="68"/>
  <c r="P318" i="68" s="1"/>
  <c r="U318" i="68" s="1"/>
  <c r="N313" i="68"/>
  <c r="N314" i="68"/>
  <c r="N91" i="68"/>
  <c r="P91" i="68" s="1"/>
  <c r="U91" i="68" s="1"/>
  <c r="N75" i="68"/>
  <c r="P75" i="68" s="1"/>
  <c r="U75" i="68" s="1"/>
  <c r="N219" i="68"/>
  <c r="N107" i="68"/>
  <c r="N237" i="68"/>
  <c r="P237" i="68" s="1"/>
  <c r="U237" i="68" s="1"/>
  <c r="N291" i="68"/>
  <c r="P291" i="68" s="1"/>
  <c r="U291" i="68" s="1"/>
  <c r="N77" i="68"/>
  <c r="P77" i="68" s="1"/>
  <c r="U77" i="68" s="1"/>
  <c r="N93" i="68"/>
  <c r="N205" i="68"/>
  <c r="N315" i="68"/>
  <c r="N281" i="68"/>
  <c r="A67" i="68"/>
  <c r="N67" i="68"/>
  <c r="P67" i="68" s="1"/>
  <c r="U67" i="68" s="1"/>
  <c r="A66" i="68"/>
  <c r="N66" i="68"/>
  <c r="P66" i="68" s="1"/>
  <c r="N316" i="68"/>
  <c r="P316" i="68" s="1"/>
  <c r="U316" i="68" s="1"/>
  <c r="N317" i="68"/>
  <c r="P317" i="68" s="1"/>
  <c r="U317" i="68" s="1"/>
  <c r="N298" i="68"/>
  <c r="P298" i="68" s="1"/>
  <c r="U298" i="68" s="1"/>
  <c r="N279" i="68"/>
  <c r="P279" i="68" s="1"/>
  <c r="U279" i="68" s="1"/>
  <c r="N286" i="68"/>
  <c r="N280" i="68"/>
  <c r="N285" i="68"/>
  <c r="P285" i="68" s="1"/>
  <c r="U285" i="68" s="1"/>
  <c r="N306" i="68"/>
  <c r="N283" i="68"/>
  <c r="P283" i="68" s="1"/>
  <c r="U283" i="68" s="1"/>
  <c r="N284" i="68"/>
  <c r="P284" i="68" s="1"/>
  <c r="U284" i="68" s="1"/>
  <c r="N299" i="68"/>
  <c r="P299" i="68" s="1"/>
  <c r="U299" i="68" s="1"/>
  <c r="N300" i="68"/>
  <c r="P300" i="68" s="1"/>
  <c r="U300" i="68" s="1"/>
  <c r="N282" i="68"/>
  <c r="P282" i="68" s="1"/>
  <c r="U282" i="68" s="1"/>
  <c r="N246" i="68"/>
  <c r="A246" i="68"/>
  <c r="N38" i="68"/>
  <c r="A38" i="68"/>
  <c r="A275" i="68"/>
  <c r="N275" i="68"/>
  <c r="N32" i="68"/>
  <c r="P32" i="68" s="1"/>
  <c r="U32" i="68" s="1"/>
  <c r="A32" i="68"/>
  <c r="N39" i="68"/>
  <c r="A39" i="68"/>
  <c r="N287" i="68"/>
  <c r="A287" i="68"/>
  <c r="A43" i="68"/>
  <c r="N43" i="68"/>
  <c r="P43" i="68" s="1"/>
  <c r="U43" i="68" s="1"/>
  <c r="N288" i="68"/>
  <c r="A288" i="68"/>
  <c r="N51" i="68"/>
  <c r="A51" i="68"/>
  <c r="A297" i="68"/>
  <c r="N297" i="68"/>
  <c r="A49" i="68"/>
  <c r="N49" i="68"/>
  <c r="A301" i="68"/>
  <c r="N301" i="68"/>
  <c r="N302" i="68"/>
  <c r="A302" i="68"/>
  <c r="N62" i="68"/>
  <c r="A62" i="68"/>
  <c r="N303" i="68"/>
  <c r="A303" i="68"/>
  <c r="N63" i="68"/>
  <c r="A63" i="68"/>
  <c r="N304" i="68"/>
  <c r="A304" i="68"/>
  <c r="N64" i="68"/>
  <c r="A64" i="68"/>
  <c r="N55" i="68"/>
  <c r="A55" i="68"/>
  <c r="N25" i="68"/>
  <c r="P25" i="68" s="1"/>
  <c r="U25" i="68" s="1"/>
  <c r="A25" i="68"/>
  <c r="A26" i="68"/>
  <c r="N26" i="68"/>
  <c r="P26" i="68" s="1"/>
  <c r="U26" i="68" s="1"/>
  <c r="N232" i="68"/>
  <c r="A232" i="68"/>
  <c r="N27" i="68"/>
  <c r="P27" i="68" s="1"/>
  <c r="U27" i="68" s="1"/>
  <c r="A27" i="68"/>
  <c r="N235" i="68"/>
  <c r="A235" i="68"/>
  <c r="N31" i="68"/>
  <c r="P31" i="68" s="1"/>
  <c r="U31" i="68" s="1"/>
  <c r="A31" i="68"/>
  <c r="A241" i="68"/>
  <c r="N241" i="68"/>
  <c r="A244" i="68"/>
  <c r="N244" i="68"/>
  <c r="A33" i="68"/>
  <c r="N33" i="68"/>
  <c r="P33" i="68" s="1"/>
  <c r="U33" i="68" s="1"/>
  <c r="A245" i="68"/>
  <c r="N245" i="68"/>
  <c r="N37" i="68"/>
  <c r="A37" i="68"/>
  <c r="A272" i="68"/>
  <c r="A319" i="68"/>
  <c r="A270" i="68"/>
  <c r="N276" i="68"/>
  <c r="P276" i="68" s="1"/>
  <c r="U276" i="68" s="1"/>
  <c r="A267" i="68"/>
  <c r="A266" i="68"/>
  <c r="A312" i="68"/>
  <c r="A296" i="68"/>
  <c r="A311" i="68"/>
  <c r="A295" i="68"/>
  <c r="A263" i="68"/>
  <c r="A310" i="68"/>
  <c r="A294" i="68"/>
  <c r="A278" i="68"/>
  <c r="A262" i="68"/>
  <c r="A293" i="68"/>
  <c r="A308" i="68"/>
  <c r="A292" i="68"/>
  <c r="A307" i="68"/>
  <c r="A322" i="68"/>
  <c r="A274" i="68"/>
  <c r="A321" i="68"/>
  <c r="A305" i="68"/>
  <c r="A289" i="68"/>
  <c r="A273" i="68"/>
  <c r="A257" i="68"/>
  <c r="P292" i="68"/>
  <c r="U66" i="68" l="1"/>
  <c r="P222" i="68"/>
  <c r="U222" i="68" s="1"/>
  <c r="P137" i="68"/>
  <c r="U137" i="68" s="1"/>
  <c r="P308" i="68"/>
  <c r="U308" i="68" s="1"/>
  <c r="U65" i="68"/>
  <c r="U182" i="68"/>
  <c r="U71" i="68"/>
  <c r="P247" i="68"/>
  <c r="U247" i="68" s="1"/>
  <c r="P267" i="68"/>
  <c r="U267" i="68" s="1"/>
  <c r="P307" i="68"/>
  <c r="U307" i="68" s="1"/>
  <c r="P313" i="68"/>
  <c r="U313" i="68" s="1"/>
  <c r="P230" i="68"/>
  <c r="U230" i="68" s="1"/>
  <c r="P315" i="68"/>
  <c r="U315" i="68" s="1"/>
  <c r="P296" i="68"/>
  <c r="U296" i="68" s="1"/>
  <c r="P314" i="68"/>
  <c r="U314" i="68" s="1"/>
  <c r="P303" i="68"/>
  <c r="U303" i="68" s="1"/>
  <c r="P304" i="68"/>
  <c r="U304" i="68" s="1"/>
  <c r="P234" i="68"/>
  <c r="U234" i="68" s="1"/>
  <c r="P274" i="68"/>
  <c r="U274" i="68" s="1"/>
  <c r="P231" i="68"/>
  <c r="U231" i="68" s="1"/>
  <c r="P232" i="68"/>
  <c r="U232" i="68" s="1"/>
  <c r="P302" i="68"/>
  <c r="U302" i="68" s="1"/>
  <c r="P306" i="68"/>
  <c r="U306" i="68" s="1"/>
  <c r="P301" i="68"/>
  <c r="U301" i="68" s="1"/>
  <c r="P227" i="68"/>
  <c r="U227" i="68" s="1"/>
  <c r="P305" i="68"/>
  <c r="U305" i="68" s="1"/>
  <c r="P319" i="68"/>
  <c r="U319" i="68" s="1"/>
  <c r="U206" i="68"/>
  <c r="U72" i="68"/>
  <c r="U209" i="68"/>
  <c r="U193" i="68"/>
  <c r="U123" i="68"/>
  <c r="U122" i="68"/>
  <c r="U115" i="68"/>
  <c r="U124" i="68"/>
  <c r="U108" i="68"/>
  <c r="U121" i="68"/>
  <c r="U120" i="68"/>
  <c r="P249" i="68"/>
  <c r="U249" i="68" s="1"/>
  <c r="U102" i="68"/>
  <c r="U109" i="68"/>
  <c r="P177" i="68"/>
  <c r="U177" i="68" s="1"/>
  <c r="P195" i="68"/>
  <c r="U195" i="68" s="1"/>
  <c r="P151" i="68"/>
  <c r="U151" i="68" s="1"/>
  <c r="P169" i="68"/>
  <c r="U169" i="68" s="1"/>
  <c r="P135" i="68"/>
  <c r="U135" i="68" s="1"/>
  <c r="P54" i="68"/>
  <c r="U54" i="68" s="1"/>
  <c r="P221" i="68"/>
  <c r="U221" i="68" s="1"/>
  <c r="P208" i="68"/>
  <c r="U208" i="68" s="1"/>
  <c r="P68" i="68"/>
  <c r="U68" i="68" s="1"/>
  <c r="P128" i="68"/>
  <c r="U128" i="68" s="1"/>
  <c r="P233" i="68"/>
  <c r="U233" i="68" s="1"/>
  <c r="P19" i="68"/>
  <c r="U19" i="68" s="1"/>
  <c r="P126" i="68"/>
  <c r="U126" i="68" s="1"/>
  <c r="P112" i="68"/>
  <c r="U112" i="68" s="1"/>
  <c r="P235" i="68"/>
  <c r="U235" i="68" s="1"/>
  <c r="P207" i="68"/>
  <c r="U207" i="68" s="1"/>
  <c r="P94" i="68"/>
  <c r="U94" i="68" s="1"/>
  <c r="P238" i="68"/>
  <c r="U238" i="68" s="1"/>
  <c r="P62" i="68"/>
  <c r="U62" i="68" s="1"/>
  <c r="P216" i="68"/>
  <c r="U216" i="68" s="1"/>
  <c r="P288" i="68"/>
  <c r="U288" i="68" s="1"/>
  <c r="P37" i="68"/>
  <c r="U37" i="68" s="1"/>
  <c r="P113" i="68"/>
  <c r="U113" i="68" s="1"/>
  <c r="P39" i="68"/>
  <c r="U39" i="68" s="1"/>
  <c r="P176" i="68"/>
  <c r="U176" i="68" s="1"/>
  <c r="P70" i="68"/>
  <c r="U70" i="68" s="1"/>
  <c r="P256" i="68"/>
  <c r="U256" i="68" s="1"/>
  <c r="P245" i="68"/>
  <c r="U245" i="68" s="1"/>
  <c r="P107" i="68"/>
  <c r="U107" i="68" s="1"/>
  <c r="P268" i="68"/>
  <c r="U268" i="68" s="1"/>
  <c r="P60" i="68"/>
  <c r="U60" i="68" s="1"/>
  <c r="P287" i="68"/>
  <c r="U287" i="68" s="1"/>
  <c r="P125" i="68"/>
  <c r="U125" i="68" s="1"/>
  <c r="P219" i="68"/>
  <c r="U219" i="68" s="1"/>
  <c r="P147" i="68"/>
  <c r="U147" i="68" s="1"/>
  <c r="P36" i="68"/>
  <c r="U36" i="68" s="1"/>
  <c r="P281" i="68"/>
  <c r="U281" i="68" s="1"/>
  <c r="P178" i="68"/>
  <c r="U178" i="68" s="1"/>
  <c r="P153" i="68"/>
  <c r="U153" i="68" s="1"/>
  <c r="P187" i="68"/>
  <c r="U187" i="68" s="1"/>
  <c r="P244" i="68"/>
  <c r="U244" i="68" s="1"/>
  <c r="P275" i="68"/>
  <c r="U275" i="68" s="1"/>
  <c r="P223" i="68"/>
  <c r="U223" i="68" s="1"/>
  <c r="P188" i="68"/>
  <c r="U188" i="68" s="1"/>
  <c r="P55" i="68"/>
  <c r="U55" i="68" s="1"/>
  <c r="P243" i="68"/>
  <c r="U243" i="68" s="1"/>
  <c r="P152" i="68"/>
  <c r="U152" i="68" s="1"/>
  <c r="P170" i="68"/>
  <c r="U170" i="68" s="1"/>
  <c r="P64" i="68"/>
  <c r="U64" i="68" s="1"/>
  <c r="P127" i="68"/>
  <c r="U127" i="68" s="1"/>
  <c r="P215" i="68"/>
  <c r="U215" i="68" s="1"/>
  <c r="P220" i="68"/>
  <c r="U220" i="68" s="1"/>
  <c r="P246" i="68"/>
  <c r="U246" i="68" s="1"/>
  <c r="P199" i="68"/>
  <c r="U199" i="68" s="1"/>
  <c r="P51" i="68"/>
  <c r="U51" i="68" s="1"/>
  <c r="P242" i="68"/>
  <c r="U242" i="68" s="1"/>
  <c r="P111" i="68"/>
  <c r="U111" i="68" s="1"/>
  <c r="U292" i="68"/>
  <c r="U266" i="68"/>
  <c r="U270" i="68"/>
  <c r="U163" i="68"/>
  <c r="P309" i="68"/>
  <c r="P131" i="68"/>
  <c r="P297" i="68"/>
  <c r="P38" i="68"/>
  <c r="P200" i="68"/>
  <c r="P255" i="68"/>
  <c r="P130" i="68"/>
  <c r="P205" i="68"/>
  <c r="P218" i="68"/>
  <c r="P93" i="68"/>
  <c r="P110" i="68"/>
  <c r="P269" i="68"/>
  <c r="U217" i="68"/>
  <c r="P136" i="68"/>
  <c r="P129" i="68"/>
  <c r="P253" i="68"/>
  <c r="A309" i="68"/>
  <c r="P175" i="68"/>
  <c r="P194" i="68"/>
  <c r="P114" i="68"/>
  <c r="U114" i="68" s="1"/>
  <c r="P98" i="68"/>
  <c r="P214" i="68"/>
  <c r="P261" i="68"/>
  <c r="P286" i="68"/>
  <c r="P49" i="68"/>
  <c r="P63" i="68"/>
  <c r="P280" i="68"/>
  <c r="P241" i="68"/>
  <c r="U200" i="68" l="1"/>
  <c r="U241" i="68"/>
  <c r="U38" i="68"/>
  <c r="U309" i="68"/>
  <c r="U269" i="68"/>
  <c r="U136" i="68"/>
  <c r="U253" i="68"/>
  <c r="U110" i="68"/>
  <c r="U297" i="68"/>
  <c r="U93" i="68"/>
  <c r="U286" i="68"/>
  <c r="U194" i="68"/>
  <c r="U129" i="68"/>
  <c r="U98" i="68"/>
  <c r="U280" i="68"/>
  <c r="U255" i="68"/>
  <c r="U261" i="68"/>
  <c r="U175" i="68"/>
  <c r="U130" i="68"/>
  <c r="U63" i="68"/>
  <c r="U218" i="68"/>
  <c r="U131" i="68"/>
  <c r="U49" i="68"/>
  <c r="U205" i="68"/>
  <c r="U214" i="68"/>
</calcChain>
</file>

<file path=xl/sharedStrings.xml><?xml version="1.0" encoding="utf-8"?>
<sst xmlns="http://schemas.openxmlformats.org/spreadsheetml/2006/main" count="3891" uniqueCount="1024">
  <si>
    <t>WORK ORDER</t>
  </si>
  <si>
    <t>Equipment</t>
  </si>
  <si>
    <t>Distribution</t>
  </si>
  <si>
    <t>WORK ORDER DATA MASTERLIST</t>
  </si>
  <si>
    <t>TASK DESCRIPTION</t>
  </si>
  <si>
    <t>EQUIPMENT</t>
  </si>
  <si>
    <t>PARTS AND MATERIALS</t>
  </si>
  <si>
    <t>FREQUENCY</t>
  </si>
  <si>
    <t>Annual</t>
  </si>
  <si>
    <t>Weekly</t>
  </si>
  <si>
    <t>Monthly</t>
  </si>
  <si>
    <t>Quarterly</t>
  </si>
  <si>
    <t>As Required</t>
  </si>
  <si>
    <t>Semi-Annual</t>
  </si>
  <si>
    <t>CONTRACTOR COST</t>
  </si>
  <si>
    <t>N/A</t>
  </si>
  <si>
    <t>CATEGORY</t>
  </si>
  <si>
    <t>SUB-CATEGORY</t>
  </si>
  <si>
    <t>COMPONENT</t>
  </si>
  <si>
    <t>Consultant</t>
  </si>
  <si>
    <t>Wood Fencing</t>
  </si>
  <si>
    <t>Asphalt Shingles</t>
  </si>
  <si>
    <t>Sheet Metal &amp; Flashings</t>
  </si>
  <si>
    <t>Gutters &amp; Downspouts</t>
  </si>
  <si>
    <t>Wood Siding &amp; Trim</t>
  </si>
  <si>
    <t>Metal Cladding &amp; Trim</t>
  </si>
  <si>
    <t>Doors &amp; Hardware</t>
  </si>
  <si>
    <t>Handrails &amp; Guardrails</t>
  </si>
  <si>
    <t>4. INTERIOR</t>
  </si>
  <si>
    <t>Custodial</t>
  </si>
  <si>
    <t>5. MECHANICAL</t>
  </si>
  <si>
    <t>6. ELECTRICAL</t>
  </si>
  <si>
    <t>7. FIRE PROTECTION</t>
  </si>
  <si>
    <t>Elevator</t>
  </si>
  <si>
    <t>Stairwell Chair Lift</t>
  </si>
  <si>
    <t>Every 5 Years</t>
  </si>
  <si>
    <t>1. SITE</t>
  </si>
  <si>
    <t>1.1. Soft Landscaping</t>
  </si>
  <si>
    <t>1.2. Irrigation</t>
  </si>
  <si>
    <t>1.3. Playfields</t>
  </si>
  <si>
    <t>1.4. Playgrounds</t>
  </si>
  <si>
    <t>1.5. Retaining Walls</t>
  </si>
  <si>
    <t>1.6. Sidewalks</t>
  </si>
  <si>
    <t>1.7. Fencing</t>
  </si>
  <si>
    <t>1.8. Parking</t>
  </si>
  <si>
    <t>1.9. Other</t>
  </si>
  <si>
    <t>Grass</t>
  </si>
  <si>
    <t>Plantings</t>
  </si>
  <si>
    <t>Irrigation</t>
  </si>
  <si>
    <t>Surface</t>
  </si>
  <si>
    <t>Play Surface</t>
  </si>
  <si>
    <t>Concrete / Concrete Block</t>
  </si>
  <si>
    <t>Wood</t>
  </si>
  <si>
    <t>TBD</t>
  </si>
  <si>
    <t>Concrete</t>
  </si>
  <si>
    <t>Gravel</t>
  </si>
  <si>
    <t xml:space="preserve">Asphalt </t>
  </si>
  <si>
    <t>Asphalt</t>
  </si>
  <si>
    <t>2.1. Sub-Grade</t>
  </si>
  <si>
    <t>2.2. Foundations</t>
  </si>
  <si>
    <t>2.3. Walls</t>
  </si>
  <si>
    <t>2.4. Roof</t>
  </si>
  <si>
    <t>2.5. Supports</t>
  </si>
  <si>
    <t>2.6. Other</t>
  </si>
  <si>
    <t>2. STRUCTURAL</t>
  </si>
  <si>
    <t>3. EXTERIOR</t>
  </si>
  <si>
    <t>3.1. Roofing</t>
  </si>
  <si>
    <t>3.2. Cladding</t>
  </si>
  <si>
    <t>3.3. Windows</t>
  </si>
  <si>
    <t>3.4. Doors</t>
  </si>
  <si>
    <t>4.1. Floors</t>
  </si>
  <si>
    <t>4.2. Walls</t>
  </si>
  <si>
    <t>4.3. Ceilings</t>
  </si>
  <si>
    <t>4.4. Doors</t>
  </si>
  <si>
    <t>5.5. Other</t>
  </si>
  <si>
    <t>6.1. Power</t>
  </si>
  <si>
    <t>6.2. Lighting</t>
  </si>
  <si>
    <t>6.3. Communications</t>
  </si>
  <si>
    <t>6.4. Alarms</t>
  </si>
  <si>
    <t>6.5. Back-up Power</t>
  </si>
  <si>
    <t>6.6. Other</t>
  </si>
  <si>
    <t>8. ELEVATING DEVICES</t>
  </si>
  <si>
    <t>Deck Membranes</t>
  </si>
  <si>
    <t>Stucco Cladding &amp; Trim</t>
  </si>
  <si>
    <t>Windows &amp; Patio Doors</t>
  </si>
  <si>
    <t>3.6. Other</t>
  </si>
  <si>
    <t>Miscellaneous Metals</t>
  </si>
  <si>
    <t>Carvings</t>
  </si>
  <si>
    <t>Floor Finish</t>
  </si>
  <si>
    <t>Wall Finish</t>
  </si>
  <si>
    <t>Suspended T-Bar</t>
  </si>
  <si>
    <t>Hand Dryer</t>
  </si>
  <si>
    <t>Toilet Partitions</t>
  </si>
  <si>
    <t>4.5. Painting</t>
  </si>
  <si>
    <t>Washrooms</t>
  </si>
  <si>
    <t>4.7. Millwork</t>
  </si>
  <si>
    <t>4.8. Washroom Accessories</t>
  </si>
  <si>
    <t>Utilities-Power</t>
  </si>
  <si>
    <t>Utilities-Gas</t>
  </si>
  <si>
    <t>5.1. Plumbing</t>
  </si>
  <si>
    <t>Sanitary</t>
  </si>
  <si>
    <t>Fixtures</t>
  </si>
  <si>
    <t>Water (hot &amp; cold)</t>
  </si>
  <si>
    <t>Ducting &amp; Distribution</t>
  </si>
  <si>
    <t>Controls</t>
  </si>
  <si>
    <t>Emergency &amp; Exit</t>
  </si>
  <si>
    <t>Fire &amp; Smoke</t>
  </si>
  <si>
    <t>Intruder</t>
  </si>
  <si>
    <t>Public Address</t>
  </si>
  <si>
    <t xml:space="preserve">Fire Sprinkler </t>
  </si>
  <si>
    <t>Kitchen Exhaust Hood</t>
  </si>
  <si>
    <t>Extinguishers</t>
  </si>
  <si>
    <t>HC Lift</t>
  </si>
  <si>
    <t>Roll Roofing &amp; Flashings</t>
  </si>
  <si>
    <t>Every 25 Years</t>
  </si>
  <si>
    <t>Every 7 Years</t>
  </si>
  <si>
    <t>3.5. Metals &amp; Features</t>
  </si>
  <si>
    <t>4.6. Stairs &amp; Railings</t>
  </si>
  <si>
    <t>Stair Treads</t>
  </si>
  <si>
    <t>Generator</t>
  </si>
  <si>
    <t>8.1. Elevators &amp; Lifts</t>
  </si>
  <si>
    <t>8.2. Other</t>
  </si>
  <si>
    <t>Utilities-Phone &amp; Internet</t>
  </si>
  <si>
    <t>Utilities-Municipal Water</t>
  </si>
  <si>
    <t>Utilities-Municipal Sewer</t>
  </si>
  <si>
    <t>Utilities-Municipal MTSA/Fire Protection</t>
  </si>
  <si>
    <t>Utilities-24 Hr Fire Protection Monitoring</t>
  </si>
  <si>
    <t>Utilities-24 Hr Security System Monitoring</t>
  </si>
  <si>
    <t>Board Room</t>
  </si>
  <si>
    <t>Every 35 Years</t>
  </si>
  <si>
    <t>Corridor</t>
  </si>
  <si>
    <t>TP Dispenser</t>
  </si>
  <si>
    <t>Every 10 Years</t>
  </si>
  <si>
    <t>OPERATOR RATE</t>
  </si>
  <si>
    <t>OPERATOR COST</t>
  </si>
  <si>
    <t>ANNUAL COST PER WORK ORDER</t>
  </si>
  <si>
    <t>January</t>
  </si>
  <si>
    <t>February</t>
  </si>
  <si>
    <t>March</t>
  </si>
  <si>
    <t>April</t>
  </si>
  <si>
    <t>May</t>
  </si>
  <si>
    <t>June</t>
  </si>
  <si>
    <t>July</t>
  </si>
  <si>
    <t>August</t>
  </si>
  <si>
    <t>September</t>
  </si>
  <si>
    <t>October</t>
  </si>
  <si>
    <t>November</t>
  </si>
  <si>
    <t>December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</si>
  <si>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</si>
  <si>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</si>
  <si>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</si>
  <si>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</si>
  <si>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</si>
  <si>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</si>
  <si>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</si>
  <si>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</si>
  <si>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</si>
  <si>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</si>
  <si>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</si>
  <si>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</si>
  <si>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</si>
  <si>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</si>
  <si>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</si>
  <si>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</si>
  <si>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</si>
  <si>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</si>
  <si>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</si>
  <si>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</si>
  <si>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</si>
  <si>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</si>
  <si>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</si>
  <si>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</si>
  <si>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</si>
  <si>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</si>
  <si>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</si>
  <si>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</si>
  <si>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</si>
  <si>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</si>
  <si>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</si>
  <si>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</si>
  <si>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</si>
  <si>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</si>
  <si>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</si>
  <si>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</si>
  <si>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</si>
  <si>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</si>
  <si>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</si>
  <si>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</si>
  <si>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</si>
  <si>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</si>
  <si>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</si>
  <si>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</si>
  <si>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</si>
  <si>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</si>
  <si>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</si>
  <si>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</si>
  <si>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</si>
  <si>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</si>
  <si>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</si>
  <si>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</si>
  <si>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QUANTITY</t>
  </si>
  <si>
    <t>FREQUENCY   (TIMES PER YEAR)</t>
  </si>
  <si>
    <t>Every 40 Years</t>
  </si>
  <si>
    <t>MAINTENANCE OR CAPITAL</t>
  </si>
  <si>
    <t>Maintenance</t>
  </si>
  <si>
    <t>Aerate lawn areas</t>
  </si>
  <si>
    <t>Add mulch to planters</t>
  </si>
  <si>
    <t>Check for leaks in irrigation system</t>
  </si>
  <si>
    <t>Seasonal service to irrigation system</t>
  </si>
  <si>
    <t>Repair damaged sprinkler heads</t>
  </si>
  <si>
    <t>Repair damaged irrigation controller</t>
  </si>
  <si>
    <t>Repair worn areas</t>
  </si>
  <si>
    <t>Install goals</t>
  </si>
  <si>
    <t>Install sport lines</t>
  </si>
  <si>
    <t>Check all surfaces and equipment</t>
  </si>
  <si>
    <t>Install new pea gravel under equipment</t>
  </si>
  <si>
    <t>Repair gravel surround</t>
  </si>
  <si>
    <t>Capital</t>
  </si>
  <si>
    <t>Replace rotten timbers</t>
  </si>
  <si>
    <t xml:space="preserve">Check for tripping hazards </t>
  </si>
  <si>
    <t>Add gravel to eliminate pot holes</t>
  </si>
  <si>
    <t>Clean, prep and re-stain site perimeter fencing</t>
  </si>
  <si>
    <t>Repair damaged fencing / gate</t>
  </si>
  <si>
    <t>Parking lot cleaning</t>
  </si>
  <si>
    <t>Grade parking lot &amp; driveway</t>
  </si>
  <si>
    <t>Fill pot holes w/ gravel</t>
  </si>
  <si>
    <t>Provide dust control for driveway and parking lot</t>
  </si>
  <si>
    <t xml:space="preserve">Engage services of a civil and/or building consultant  </t>
  </si>
  <si>
    <t>Drainage</t>
  </si>
  <si>
    <t>Clean &amp; inspect parking and landscape catch basins</t>
  </si>
  <si>
    <t>Every 3 Years</t>
  </si>
  <si>
    <t>Curbs</t>
  </si>
  <si>
    <t xml:space="preserve">Repair curbs at driveway and parking lot </t>
  </si>
  <si>
    <t>Tighten beam &amp; column bolt connections</t>
  </si>
  <si>
    <t>Engage services of a structural and/or building consultant</t>
  </si>
  <si>
    <t>Replace roofing (Life cycle replacement)</t>
  </si>
  <si>
    <t>Inspect roof surfaces, flashings, and caulking joints</t>
  </si>
  <si>
    <t>Inspect roof area due to wind storm</t>
  </si>
  <si>
    <t>Repair roof flashings damaged from wind storm</t>
  </si>
  <si>
    <t>Replace roofing  (Life cycle replacement)</t>
  </si>
  <si>
    <t>Clean gutters, roof drains, and downspouts</t>
  </si>
  <si>
    <t>Replace siding  (Life cycle replacement)</t>
  </si>
  <si>
    <t>Inspect exterior cladding/siding, flashings, and caulking</t>
  </si>
  <si>
    <t>Clean all cladding &amp; trim</t>
  </si>
  <si>
    <t>Repair/replace damaged siding</t>
  </si>
  <si>
    <t>Replace caulking &amp; paint all exposed cladding/siding, structure &amp; trim  (Life cycle replacement)</t>
  </si>
  <si>
    <t>Replace windows &amp; patio doors  (Life cycle replacement)</t>
  </si>
  <si>
    <t xml:space="preserve">Inspect all exterior windows, patio doors, &amp; caulking </t>
  </si>
  <si>
    <t>Replace damaged sealed unit</t>
  </si>
  <si>
    <t xml:space="preserve">Wash all exterior windows </t>
  </si>
  <si>
    <t>Replace exterior doors &amp; hardware  (Life cycle replacement)</t>
  </si>
  <si>
    <t>Adjust all doors, weatherstripping, and hardware</t>
  </si>
  <si>
    <t>Paint all handrails &amp; guardrails (Life cycle replacement)</t>
  </si>
  <si>
    <t xml:space="preserve">Secure all loose fasteners and touch up surface corrosion  </t>
  </si>
  <si>
    <t xml:space="preserve">Engage services of a Structural, Envelope, and/or Building consultant.  </t>
  </si>
  <si>
    <t>Replace all floor finishes  (Life cycle replacement)</t>
  </si>
  <si>
    <t>Every 40 years</t>
  </si>
  <si>
    <t>INT 4.11.10</t>
  </si>
  <si>
    <t>INT 4.11.11</t>
  </si>
  <si>
    <t>4.10. Appliances</t>
  </si>
  <si>
    <t>4.11. Other</t>
  </si>
  <si>
    <t>Inspect all floor finishes</t>
  </si>
  <si>
    <t>Repair lifting flooring.</t>
  </si>
  <si>
    <t>Replace damaged T-Bar Ceiling Tiles .</t>
  </si>
  <si>
    <t>Adjust all door hardware</t>
  </si>
  <si>
    <t>Replace damaged door hardware</t>
  </si>
  <si>
    <t xml:space="preserve">Repair walls damaged from chairs/furniture/use </t>
  </si>
  <si>
    <t xml:space="preserve">Re-paint all Board Room walls &amp; ceilings </t>
  </si>
  <si>
    <t>Re-paint all washroom &amp; kitchen walls &amp; ceilings</t>
  </si>
  <si>
    <t>Re-paint all interior walls (remainder of building)</t>
  </si>
  <si>
    <t>Interior</t>
  </si>
  <si>
    <t xml:space="preserve">Re-paint damaged wall </t>
  </si>
  <si>
    <t>Stair Treads &amp; Railings</t>
  </si>
  <si>
    <t>Inspect all stair treads, handrails, and guardrails (secure where needed)</t>
  </si>
  <si>
    <t>Replace damaged stair tread</t>
  </si>
  <si>
    <t>Repair damaged handrail</t>
  </si>
  <si>
    <t>Millwork</t>
  </si>
  <si>
    <t>Inspect all finishes and adjust hardware where needed</t>
  </si>
  <si>
    <t>Repair millwork door hardware</t>
  </si>
  <si>
    <t>Service hand dryer (w/ electrician)</t>
  </si>
  <si>
    <t>Replace damaged TP dispenser at toilet stall</t>
  </si>
  <si>
    <t>Inspect and adjust all toilet partitions</t>
  </si>
  <si>
    <t>Appliances (Residential)</t>
  </si>
  <si>
    <t>Replace all residential appliances</t>
  </si>
  <si>
    <t>Appliances (Commercial)</t>
  </si>
  <si>
    <t>Replace all commercial appliances</t>
  </si>
  <si>
    <t>Every 20 Years</t>
  </si>
  <si>
    <t>4.9. Window Coverings</t>
  </si>
  <si>
    <t>Window Coverings</t>
  </si>
  <si>
    <t>Replace all window coverings</t>
  </si>
  <si>
    <t>Repair/replace damaged blind</t>
  </si>
  <si>
    <t>Dishwasher (Residential)</t>
  </si>
  <si>
    <t>Dishwasher (Commercial)</t>
  </si>
  <si>
    <t>Service dishwashers in staff areas</t>
  </si>
  <si>
    <t>Service dishwasher in commercial kitchen</t>
  </si>
  <si>
    <t>Engage services of a Structural and/or Building consultant.  Hazardous Materials survey.</t>
  </si>
  <si>
    <t>Daily interior custodial work</t>
  </si>
  <si>
    <t>Provide monthly costs:  Hydro</t>
  </si>
  <si>
    <t>Provide monthly costs:  Gas</t>
  </si>
  <si>
    <t>Provide monthly costs:  Phone &amp; Internet</t>
  </si>
  <si>
    <t>Provide monthly costs:  Water</t>
  </si>
  <si>
    <t>Provide monthly costs:  Sewer</t>
  </si>
  <si>
    <t>Provide monthly costs:  Municipal MTSA/Fire Protection</t>
  </si>
  <si>
    <t>Provide monthly costs:  24 Hr Fire Protection Monitoring</t>
  </si>
  <si>
    <t>Provide monthly costs: 24 Hr Security System Monitoring</t>
  </si>
  <si>
    <t>Millwork doors</t>
  </si>
  <si>
    <t>Cookers (Commercial)</t>
  </si>
  <si>
    <t>Service gas burning cookers</t>
  </si>
  <si>
    <t>INT 4.11.12</t>
  </si>
  <si>
    <t>INT 4.11.13</t>
  </si>
  <si>
    <t>Clear plugged drain</t>
  </si>
  <si>
    <t xml:space="preserve">Clean ductwork for HVAC &amp; Exhaust Equipment </t>
  </si>
  <si>
    <t>Inspect washroom &amp; commercial kitchen exhaust system equipment</t>
  </si>
  <si>
    <t>Equipment (Commercial)</t>
  </si>
  <si>
    <t>Clean commercial kitchen exhaust hood</t>
  </si>
  <si>
    <t xml:space="preserve">Engage services of a Mechanical and/or Building consultant.  </t>
  </si>
  <si>
    <t>Verify operation of all heat/cool/exhaust controls</t>
  </si>
  <si>
    <t>Inspect &amp; service poles, support wires, main feeds, and building connections.</t>
  </si>
  <si>
    <t>Main Supply (Exterior)</t>
  </si>
  <si>
    <t>Distribution (Interior)</t>
  </si>
  <si>
    <t>Inspect &amp; service main &amp; distribution panel circuit breakers and connections</t>
  </si>
  <si>
    <t>Inspect and adjust lighting controls system</t>
  </si>
  <si>
    <t>Inspect &amp; service all emergency alarm &amp; power devices</t>
  </si>
  <si>
    <t xml:space="preserve">Inspect &amp; service Fire Alarm System </t>
  </si>
  <si>
    <t xml:space="preserve">Inspect &amp; service Security Alarm System </t>
  </si>
  <si>
    <t xml:space="preserve">Inspect &amp; service Generator System </t>
  </si>
  <si>
    <t xml:space="preserve">Fuel purchase for the operation of the Generator System </t>
  </si>
  <si>
    <t>Phone &amp; Data</t>
  </si>
  <si>
    <t>Repair damaged data wiring</t>
  </si>
  <si>
    <t xml:space="preserve">Engage services of Electrical and/or Building consultant  </t>
  </si>
  <si>
    <t xml:space="preserve">Inspect &amp; service Fire Protection Sprinkler System   </t>
  </si>
  <si>
    <t xml:space="preserve">Inspect &amp; service Commercial Kitchen Fire Suppression System   </t>
  </si>
  <si>
    <t>Engage services of a Mechanical, Electrical, and/or Building consultant.</t>
  </si>
  <si>
    <t>Engage services of a Mechanical, Electrical, and/or Building consultant</t>
  </si>
  <si>
    <t>Service and maintenance of elevator to conform with the elevated safety device authority</t>
  </si>
  <si>
    <t>Service and maintenance of H/C Lift to conform with the elevated safety device authority</t>
  </si>
  <si>
    <t>Service and maintenance of chair lift to conform with the elevated safety device authority</t>
  </si>
  <si>
    <t>General</t>
  </si>
  <si>
    <t>Provide snow removal for driveways and parking lots</t>
  </si>
  <si>
    <t>Fill pot holes w/ pavement</t>
  </si>
  <si>
    <t xml:space="preserve">Provide snow removal </t>
  </si>
  <si>
    <t>Columns / Beams</t>
  </si>
  <si>
    <t>Replace deck membrane  (Life cycle replacement)</t>
  </si>
  <si>
    <t>Caulking &amp; Paint</t>
  </si>
  <si>
    <t>5.2. HVAC</t>
  </si>
  <si>
    <t>Replace all exterior LED Fixtures (Life cycle replacement)</t>
  </si>
  <si>
    <t>Replace all interior LED Fixtures (Life cycle replacement)</t>
  </si>
  <si>
    <t>Every 15 Years</t>
  </si>
  <si>
    <t>Service and certify operation of backflow prevention assembly</t>
  </si>
  <si>
    <t>Water Supply</t>
  </si>
  <si>
    <t>Replace backflow prevention assembly (Life cycle replacement)</t>
  </si>
  <si>
    <t>Replace fire sprinkler dry system air compressor (Life cycle replacement)</t>
  </si>
  <si>
    <t>Replace fire sprinkler wet system flap valve (Life cycle replacement)</t>
  </si>
  <si>
    <t>Replace exposed exterior fire sprinkler dry heads at overhangs and soffit areas (Life cycle replacement)</t>
  </si>
  <si>
    <t>Repaint all exterior sprinkler piping and inspect supports at overhangs and soffit areas (Life cycle replacement)</t>
  </si>
  <si>
    <t>Replace damaged fixture</t>
  </si>
  <si>
    <t>Replace discharged fire extinguisher</t>
  </si>
  <si>
    <t>7.1. Fire Suppression</t>
  </si>
  <si>
    <t>7.2. Other</t>
  </si>
  <si>
    <t>Replace all light bulbs (in Offices)</t>
  </si>
  <si>
    <t>Pruning of shrubs &amp; trees and site cleanup</t>
  </si>
  <si>
    <t>Stairs/Ramp</t>
  </si>
  <si>
    <t>Replace stairs and ramp to code compliance</t>
  </si>
  <si>
    <t>Paint all wood  handrails &amp; guardrails (Life cycle replacement)</t>
  </si>
  <si>
    <t xml:space="preserve">Conduct service of AHU, HRV or, ERV </t>
  </si>
  <si>
    <t>Vinyl Siding &amp; Trim</t>
  </si>
  <si>
    <t>Cementitious Siding &amp; Trim</t>
  </si>
  <si>
    <t>Inspect &amp; service AHU No. 01, ERV No's 01 &amp; 02 replace (12) filters</t>
  </si>
  <si>
    <t>Repaint all parking lot markings</t>
  </si>
  <si>
    <t xml:space="preserve">Provide crack sealing for all asphalt surfaces </t>
  </si>
  <si>
    <t>Inspect support columns and/or beams, attachment connections, &amp; bolts</t>
  </si>
  <si>
    <t>Clean all decks and built-in deck drains</t>
  </si>
  <si>
    <t>Replace commercial grade Gas-Fired Hot Water Heaters (x1) and accessories</t>
  </si>
  <si>
    <t>Replace Electric Hot Water Tank (x1)</t>
  </si>
  <si>
    <t xml:space="preserve">Operate, inspect, and service Generator System </t>
  </si>
  <si>
    <t>Repair playground apparatus</t>
  </si>
  <si>
    <t>Clean algae from surfaces</t>
  </si>
  <si>
    <t>Provide vegetation control and site cleanup</t>
  </si>
  <si>
    <t>Check for structural damage (cracks, spalling, etc.)</t>
  </si>
  <si>
    <t>Replace deteriorated structural column/post</t>
  </si>
  <si>
    <t>SITE 1.8.10</t>
  </si>
  <si>
    <t>EXT 3.1.10</t>
  </si>
  <si>
    <t>EXT 3.1.11</t>
  </si>
  <si>
    <t>EXT 3.1.12</t>
  </si>
  <si>
    <t>EXT 3.1.13</t>
  </si>
  <si>
    <t>EXT 3.2.10</t>
  </si>
  <si>
    <t>EXT 3.2.11</t>
  </si>
  <si>
    <t>EXT 3.2.12</t>
  </si>
  <si>
    <t>EXT 3.2.13</t>
  </si>
  <si>
    <t>ELEC 6.2.10</t>
  </si>
  <si>
    <t>ELEC 6.2.11</t>
  </si>
  <si>
    <t>ELEC 6.2.12</t>
  </si>
  <si>
    <t>ELEC 6.2.13</t>
  </si>
  <si>
    <t>MECH 5.1.10</t>
  </si>
  <si>
    <t>MECH 5.1.11</t>
  </si>
  <si>
    <t>MECH 5.2.10</t>
  </si>
  <si>
    <t>MECH 5.2.11</t>
  </si>
  <si>
    <t>FIRE 7.1.10</t>
  </si>
  <si>
    <t>FIRE 7.1.11</t>
  </si>
  <si>
    <t>FIRE 7.1.12</t>
  </si>
  <si>
    <t>FIRE 7.1.13</t>
  </si>
  <si>
    <t>Contractor</t>
  </si>
  <si>
    <t>Truck</t>
  </si>
  <si>
    <t>Operator</t>
  </si>
  <si>
    <t>Frequency Data</t>
  </si>
  <si>
    <t>Frequency</t>
  </si>
  <si>
    <t>Task Description</t>
  </si>
  <si>
    <t>A N N U A L    C A L E N D A R</t>
  </si>
  <si>
    <t>Weekly Totals</t>
  </si>
  <si>
    <t>Maintenance Planning Hours budgeted at 10% of maintenance hours</t>
  </si>
  <si>
    <t>SCHEDULE SUMMARY</t>
  </si>
  <si>
    <t>Annual Budget</t>
  </si>
  <si>
    <t>Parts &amp; Materials</t>
  </si>
  <si>
    <t>Asset Component</t>
  </si>
  <si>
    <t>Costs per Task</t>
  </si>
  <si>
    <t>Maintenance Task</t>
  </si>
  <si>
    <t>M / C</t>
  </si>
  <si>
    <t>Grand Total</t>
  </si>
  <si>
    <t>Category</t>
  </si>
  <si>
    <t>Total Annual Budget</t>
  </si>
  <si>
    <t>REQUIRED</t>
  </si>
  <si>
    <t>Yellow cells:  Input is REQUIRED</t>
  </si>
  <si>
    <t>RECOMMENDED</t>
  </si>
  <si>
    <t>Orange cells:  Input is recommended, but not required</t>
  </si>
  <si>
    <t>Crew Hr/Year</t>
  </si>
  <si>
    <t>UTILITIES</t>
  </si>
  <si>
    <t>Utilities</t>
  </si>
  <si>
    <t>OPERATOR HOURS (BASE)</t>
  </si>
  <si>
    <t>OPERATOR HOURS (PER UNIT)</t>
  </si>
  <si>
    <t>TOTAL OPERATOR HOURS</t>
  </si>
  <si>
    <t>Units</t>
  </si>
  <si>
    <t>Each</t>
  </si>
  <si>
    <t xml:space="preserve">m² </t>
  </si>
  <si>
    <t>m</t>
  </si>
  <si>
    <t>Inventory Item</t>
  </si>
  <si>
    <t>Lawn Area</t>
  </si>
  <si>
    <t>Trees/shrubs</t>
  </si>
  <si>
    <t>Planters</t>
  </si>
  <si>
    <t>Irrigation System</t>
  </si>
  <si>
    <t>Sports Field</t>
  </si>
  <si>
    <t>Playground</t>
  </si>
  <si>
    <t>Concrete Retaining Wall</t>
  </si>
  <si>
    <t>Wood Retaining Wall</t>
  </si>
  <si>
    <t>Concrete Sidewalk</t>
  </si>
  <si>
    <t>Gravel Sidewalk</t>
  </si>
  <si>
    <t>Total Sidewalk</t>
  </si>
  <si>
    <t>Exterior Stairs/Ramp</t>
  </si>
  <si>
    <t>Damaged Fencing</t>
  </si>
  <si>
    <t>Asphalt Parking Area</t>
  </si>
  <si>
    <t>Monthly Charge - Phone/Internet</t>
  </si>
  <si>
    <t>Monthly Charge - Water</t>
  </si>
  <si>
    <t>Monthly Charge - Sewer</t>
  </si>
  <si>
    <t>Monthly Charge - Municipal MTSA/Fire Protection</t>
  </si>
  <si>
    <t>Monthly Charge - 24 Hr Fire Protection Monitoring</t>
  </si>
  <si>
    <t>Enter Monthly Charge or 0 if N/A</t>
  </si>
  <si>
    <t>Monthly Charge - 24 Hr Security System Montoring</t>
  </si>
  <si>
    <t>Electric Hot Water Tanks</t>
  </si>
  <si>
    <t>Gas Hot Water Tanks</t>
  </si>
  <si>
    <t>Commercial Grade Gas Hot Water Heaters</t>
  </si>
  <si>
    <t>Plugged Drain</t>
  </si>
  <si>
    <t>Toilets</t>
  </si>
  <si>
    <t>Ventilation System (ARU/HRV/ERV)</t>
  </si>
  <si>
    <t>Heat Pump</t>
  </si>
  <si>
    <t>Ceiling Fans</t>
  </si>
  <si>
    <t>Exterior LED Fixtures</t>
  </si>
  <si>
    <t>Speakers</t>
  </si>
  <si>
    <t>Fire Extinguisher</t>
  </si>
  <si>
    <t>Interior LED Fixtures</t>
  </si>
  <si>
    <t>Lighting Controls System</t>
  </si>
  <si>
    <t>Fire Alarm System</t>
  </si>
  <si>
    <t>Security Alarm System</t>
  </si>
  <si>
    <t>Emergency Alarm and/or Power Devices</t>
  </si>
  <si>
    <t>Generator System</t>
  </si>
  <si>
    <t>Sprinkler System</t>
  </si>
  <si>
    <t>Gravel Parking Area</t>
  </si>
  <si>
    <t>Total Parking Area</t>
  </si>
  <si>
    <t>Catch Basins</t>
  </si>
  <si>
    <t>Asphalt Shingle Roofing</t>
  </si>
  <si>
    <t>Roll Roofing &amp; Flashing</t>
  </si>
  <si>
    <t>Sheet Metal Roofing &amp; Flashing</t>
  </si>
  <si>
    <t>Gutters/Roof Drains/Downspouts</t>
  </si>
  <si>
    <t>Damaged Window</t>
  </si>
  <si>
    <t>Exterior Doors</t>
  </si>
  <si>
    <t>Interior Doors</t>
  </si>
  <si>
    <t>Metal Handrail &amp; Guardrails</t>
  </si>
  <si>
    <t>Wood Handrail &amp; Guardrails</t>
  </si>
  <si>
    <t>Finished Floor Area</t>
  </si>
  <si>
    <t>Damaged Flooring</t>
  </si>
  <si>
    <t>Ceiling Tiles</t>
  </si>
  <si>
    <t>Interior Stairs</t>
  </si>
  <si>
    <t>Millwork/Cabinetry</t>
  </si>
  <si>
    <t>Washroom Hand Dryer</t>
  </si>
  <si>
    <t>Toilet Paper Dispenser</t>
  </si>
  <si>
    <t>Residential Appliances</t>
  </si>
  <si>
    <t>Commercial Appliances</t>
  </si>
  <si>
    <t>Residential Dishwasher</t>
  </si>
  <si>
    <t>Commercial Dishwasher</t>
  </si>
  <si>
    <t>Gas Cooker</t>
  </si>
  <si>
    <t>Location Description</t>
  </si>
  <si>
    <t>Year Installed</t>
  </si>
  <si>
    <t>REQUIRED? 
(Yes / No)</t>
  </si>
  <si>
    <t>Building Name:</t>
  </si>
  <si>
    <t>Address:</t>
  </si>
  <si>
    <t>Total Site Area (m²):</t>
  </si>
  <si>
    <t>Total Floor Area (m²):</t>
  </si>
  <si>
    <t>Number of Storeys:</t>
  </si>
  <si>
    <t xml:space="preserve">Year of Construction: </t>
  </si>
  <si>
    <t>(OUTPUT)</t>
  </si>
  <si>
    <t>Blue cells:  No input required, cells will auto-populate</t>
  </si>
  <si>
    <t>TABLE OF CONTENTS</t>
  </si>
  <si>
    <t>INPUT</t>
  </si>
  <si>
    <t>OUTPUT</t>
  </si>
  <si>
    <t>Required Work Orders</t>
  </si>
  <si>
    <t>Annual Maintenance Schedule</t>
  </si>
  <si>
    <t>Annual Maintenance Budget</t>
  </si>
  <si>
    <t>ASSUMPTIONS</t>
  </si>
  <si>
    <t xml:space="preserve">REFERENCE DATA </t>
  </si>
  <si>
    <t>Building Asset Inventory</t>
  </si>
  <si>
    <t>Work Order Data Masterlist</t>
  </si>
  <si>
    <t>BUILDING SPECIFIC DATA</t>
  </si>
  <si>
    <t>Unique Community ID:</t>
  </si>
  <si>
    <t>Unique Community ID</t>
  </si>
  <si>
    <t>Labour Rate</t>
  </si>
  <si>
    <t>Community Name</t>
  </si>
  <si>
    <t>Condition</t>
  </si>
  <si>
    <t>Hours</t>
  </si>
  <si>
    <t>People (based on 1780 working hours per year)</t>
  </si>
  <si>
    <t>LIST OF SUGGESTED WORK ORDERS:</t>
  </si>
  <si>
    <t>Asset Name</t>
  </si>
  <si>
    <t>ICMS Asset ID</t>
  </si>
  <si>
    <t>List of Applicable ICMS Asset ID's</t>
  </si>
  <si>
    <t>Local Conditions Factor</t>
  </si>
  <si>
    <t>Use site area without building &amp; parking</t>
  </si>
  <si>
    <t>All Vegetation</t>
  </si>
  <si>
    <t>Repair</t>
  </si>
  <si>
    <t>Use total length of cabinets (base units + uppers)</t>
  </si>
  <si>
    <t>Replace Electric Hot Water Tank and accessories</t>
  </si>
  <si>
    <t>Replace Gas-Fired Hot Water Tank and accessories</t>
  </si>
  <si>
    <t>Replace commercial grade Gas-Fired Hot Water Heater  and accessories</t>
  </si>
  <si>
    <t>Service Gas-Fired Hot Water Heater and accessories</t>
  </si>
  <si>
    <t>Replace Toilet</t>
  </si>
  <si>
    <t>Inspect air handling equipment</t>
  </si>
  <si>
    <t>Inspect heat pump</t>
  </si>
  <si>
    <t>Replace ceiling propeller circulation fan</t>
  </si>
  <si>
    <t>Replace broken outlet</t>
  </si>
  <si>
    <t>Replace light bulbs (in Offices)</t>
  </si>
  <si>
    <t>Replace exterior LED Fixture (Life cycle replacement)</t>
  </si>
  <si>
    <t>Replace interior LED Fixture (Life cycle replacement)</t>
  </si>
  <si>
    <t>Replace speaker in main Corridor</t>
  </si>
  <si>
    <t>Inspect &amp; service Fire Extinguishers 1 ABC &amp; 1 class K Wet chemical (commercial kitchen)</t>
  </si>
  <si>
    <t>Goals</t>
  </si>
  <si>
    <t>Install goals (pair)</t>
  </si>
  <si>
    <t>Lines</t>
  </si>
  <si>
    <t>Damaged Sprinkler heads</t>
  </si>
  <si>
    <t>Damaged Irrigation controller</t>
  </si>
  <si>
    <t>Use site area with irrigation</t>
  </si>
  <si>
    <t>Use number of damaged heads</t>
  </si>
  <si>
    <t>Use number of goals</t>
  </si>
  <si>
    <t>Use number of heat pumps</t>
  </si>
  <si>
    <t>Use number of broken outlets</t>
  </si>
  <si>
    <t>Use number of damaged controllers</t>
  </si>
  <si>
    <t>Use number of sports needed (i.e. soccer, softball, etc)</t>
  </si>
  <si>
    <t>Use playfield area with surrounding surfaces (i.e. track, etc)</t>
  </si>
  <si>
    <t>Enter number of play structures (i.e. playground, swings, etc)</t>
  </si>
  <si>
    <t>Use number of playground appraratus to repair</t>
  </si>
  <si>
    <t>Use entire area under and around play area</t>
  </si>
  <si>
    <t>Use number of length of wall (adjust for over 1.2m high)</t>
  </si>
  <si>
    <t>Use number of rotten timbers</t>
  </si>
  <si>
    <t>Use all concrete sidewalks, ramps, and stairs</t>
  </si>
  <si>
    <t>Use all gravel walkways</t>
  </si>
  <si>
    <t>Assumes 6 riser stair and associated ramp system to make grades</t>
  </si>
  <si>
    <t>Use total length of fencing (adjust for over 1.2m high)</t>
  </si>
  <si>
    <t>Use all paved driveways and parking areas</t>
  </si>
  <si>
    <t>Use all gravel driveways and parking areas</t>
  </si>
  <si>
    <t>Use number of consultant reports required</t>
  </si>
  <si>
    <t>Use number of catch basins for entire site (adjust contractor rate based on number)</t>
  </si>
  <si>
    <t>Use length of curbs to be repaired</t>
  </si>
  <si>
    <t>Use number of columns (one column includes connection to foundation and to beams over)</t>
  </si>
  <si>
    <t>Auto fill with number of columns</t>
  </si>
  <si>
    <t>Use number of columns to replace (adjust contractor rate based on number)</t>
  </si>
  <si>
    <t>Use roof area with asphalt shingles (adjust for slope of roof &amp; overhangs from floor area)</t>
  </si>
  <si>
    <t>Use roof area with roll roofing (adjust for slope of roof &amp; overhangs from floor area)</t>
  </si>
  <si>
    <t>Use roof area with sheet metal roofing (adjust for slope of roof &amp; overhangs from floor area)</t>
  </si>
  <si>
    <t>Use all deck areas with waterproof membrane</t>
  </si>
  <si>
    <t>Use roof area total (include all roofing types on building)</t>
  </si>
  <si>
    <t>Use roof area total (do not use if no gutters or roof drains)</t>
  </si>
  <si>
    <t>Use wall area with vinyl cladding (Do not remove area for windows &amp; doors)</t>
  </si>
  <si>
    <t>Use wall area with wood cladding (Do not remove area for windows &amp; doors)</t>
  </si>
  <si>
    <t>Use wall area with cementitious cladding (Do not remove area for windows &amp; doors)</t>
  </si>
  <si>
    <t>Use wall area with metal cladding (Do not remove area for windows &amp; doors)</t>
  </si>
  <si>
    <t>Use wall area with stucco cladding (Do not remove area for windows &amp; doors)</t>
  </si>
  <si>
    <t>Use wall area total (include all wall types. Do not remove area for windows &amp; doors)</t>
  </si>
  <si>
    <t>Use number of windows</t>
  </si>
  <si>
    <t>Use number of damaged units</t>
  </si>
  <si>
    <t>Use number of metal elements to repair</t>
  </si>
  <si>
    <t>Use total length of exterior wood handrails and guardrails</t>
  </si>
  <si>
    <t>Use total length of exterior metal handrails and guardrails</t>
  </si>
  <si>
    <t>Use all finished floor areas (adjust rates based on type of flooring)</t>
  </si>
  <si>
    <t>Repair lifting flooring</t>
  </si>
  <si>
    <t>Use number of door leafs (i.e. double doors are to be counted as 2)</t>
  </si>
  <si>
    <t>Use number of doors with damaged hardware</t>
  </si>
  <si>
    <t>Use total of all painted surfaces (include walls and ceilings)</t>
  </si>
  <si>
    <t>Use total area of walls to repair (adjust rate for volume)</t>
  </si>
  <si>
    <t>Use number of ceiling tiles (adjust rate for volume)</t>
  </si>
  <si>
    <t>Use total area of painted surfaces (include walls and ceilings)</t>
  </si>
  <si>
    <t>Use area of repainting required</t>
  </si>
  <si>
    <t>Use number of sets of stairs (based on 18 riser flight of stairs)</t>
  </si>
  <si>
    <t>Use number of damaged treads</t>
  </si>
  <si>
    <t>Use number of damaged handrails</t>
  </si>
  <si>
    <t>Use number of damaged millwork hardware items</t>
  </si>
  <si>
    <t>Use number of damaged toilet paper dispensers</t>
  </si>
  <si>
    <t>Use number of hand dryers to service</t>
  </si>
  <si>
    <t>Use number of stalls</t>
  </si>
  <si>
    <t>Use number of window coverings (adjust rate for volume)</t>
  </si>
  <si>
    <t>Use number of damaged blinds</t>
  </si>
  <si>
    <t>Use number of residential appliances (fridge, stove, dishwasher, microwave, etc)</t>
  </si>
  <si>
    <t>Use number of residential dishwashers to service</t>
  </si>
  <si>
    <t>Use number of commercial dishwashers to service</t>
  </si>
  <si>
    <t>Use number of commercial appliances (refrigeration, cookers, washers, etc)</t>
  </si>
  <si>
    <t>Use number of gas cookers to service</t>
  </si>
  <si>
    <t>Use total floor area (adjust for volume and complexity)</t>
  </si>
  <si>
    <t>Use monthly power charges (BC Hydro or others)</t>
  </si>
  <si>
    <t>Use monthly gas charges (Fortis or others)</t>
  </si>
  <si>
    <t>Use monthly phone &amp; internet charges (could be different providers)</t>
  </si>
  <si>
    <t>Use monthly water charges</t>
  </si>
  <si>
    <t>Use monthly sewer charges</t>
  </si>
  <si>
    <t>Use monthly fire protection charges (MTSA or other)</t>
  </si>
  <si>
    <t xml:space="preserve">Use monthly fire alarm monitoring charges </t>
  </si>
  <si>
    <t>Use monthly security alarm monitoring charges</t>
  </si>
  <si>
    <t>Replace Electric Hot Water Tanks and accessories</t>
  </si>
  <si>
    <t>Replace Gas-Fired Hot Water Tanks and accessories</t>
  </si>
  <si>
    <t>Use number of standard electric hot water tanks to replace</t>
  </si>
  <si>
    <t>Use number of standard gas fired hot water tanks to replace</t>
  </si>
  <si>
    <t>Use number of commercial gas fired hot water tanks to replace</t>
  </si>
  <si>
    <t>Service Gas-Fired Hot Water Heaters and accessories</t>
  </si>
  <si>
    <t>Use number of plugged drains</t>
  </si>
  <si>
    <t>Use number of toilets to replace</t>
  </si>
  <si>
    <t>Replace toilets</t>
  </si>
  <si>
    <t>Replace Electric Hot Water Tank</t>
  </si>
  <si>
    <t>Use total number of air handling units (supply &amp; exhaust) (adjust for size and complexity of units)</t>
  </si>
  <si>
    <t>Inspect heat pumps</t>
  </si>
  <si>
    <t>Use number of exhaust systems to inspect</t>
  </si>
  <si>
    <t>Use number of commercial exhaust hoods to clean</t>
  </si>
  <si>
    <t>Replace ceiling propeller circulation fans</t>
  </si>
  <si>
    <t>Use number of ceiling fans to replace</t>
  </si>
  <si>
    <t>Replace broken outlets</t>
  </si>
  <si>
    <t>Use number of fixtures (adjust for lighting type - I.e led, incandescent, flourescent, etc)</t>
  </si>
  <si>
    <t>Use number of exterior LED fixtures (adjust rate for number &amp; type of bulbs in each fixture)</t>
  </si>
  <si>
    <t>Use number of interior LED fixtures (adjust rate for number &amp; type of bulbs in each fixture)</t>
  </si>
  <si>
    <t>Use number of damaged lighting fixtures (adjust rates based on type of fixture)</t>
  </si>
  <si>
    <t>Enter 1 if building has lighting controls (adjust rate based on complexity)</t>
  </si>
  <si>
    <t>Enter 1 if building has emergency alarm &amp; power devices (adjust rate based on number and complexity)</t>
  </si>
  <si>
    <t>Replace speakers in main Corridor</t>
  </si>
  <si>
    <t>Use number of speakers to replace</t>
  </si>
  <si>
    <t>Enter 1 if damaged wiring (adjust rate based on complexity)</t>
  </si>
  <si>
    <t>Enter 1 if building has fire &amp; smoke alarm (adjust rate based on complexity)</t>
  </si>
  <si>
    <t>Enter 1 if building has an intruder alarm (adjust rate based on complexity)</t>
  </si>
  <si>
    <t>Enter 1 if building has a backup generator (adjust rate based on complexity)</t>
  </si>
  <si>
    <t>Auto fill with generator for building (adjust rate based on complexity)</t>
  </si>
  <si>
    <t>Enter monthly fuel cost for generator operation</t>
  </si>
  <si>
    <t xml:space="preserve">Provide monthly costs:  Fuel purchase for the operation of the Generator System </t>
  </si>
  <si>
    <t>Enter 1 if building has a fire sprinkler system (adjust rate based on complexity)</t>
  </si>
  <si>
    <t>Use number of discharged extinguishers (adjust contractor cost by type of extinguisher)</t>
  </si>
  <si>
    <t>Use length of sprinkler piping to paint (adjust for height and complexity)</t>
  </si>
  <si>
    <t>Use number of heads (adjust for working at heights)</t>
  </si>
  <si>
    <t>Use number of compressors to replace</t>
  </si>
  <si>
    <t>Use number of flapper valves to replace</t>
  </si>
  <si>
    <t>Use number of backflow devices to inspect</t>
  </si>
  <si>
    <t>Use number of commercial hoods with fire suppression</t>
  </si>
  <si>
    <t>Use number of extinguishers (adjust rates based on type of extinguisher)</t>
  </si>
  <si>
    <t>Use number of elevators (adjust rate based on complexity)</t>
  </si>
  <si>
    <t>Use number of H/C lifts (adjust rate based on complexity)</t>
  </si>
  <si>
    <t>Use number of stair lifts (adjust rate based on complexity)</t>
  </si>
  <si>
    <t>Inspect &amp; service Fire Extinguishers ABC &amp; class K Wet chemical (commercial kitchen)</t>
  </si>
  <si>
    <t xml:space="preserve">Fire Suppression System   </t>
  </si>
  <si>
    <t>Communications wiring</t>
  </si>
  <si>
    <t>Emergency Devices</t>
  </si>
  <si>
    <t>Exhaust System</t>
  </si>
  <si>
    <t xml:space="preserve">Monthly Charge - Gas </t>
  </si>
  <si>
    <t>Monthly Charge - Power</t>
  </si>
  <si>
    <t xml:space="preserve">Damaged wall </t>
  </si>
  <si>
    <t>Damaged Interior Doors</t>
  </si>
  <si>
    <t>Auto fill if fire sprinkler system is in building</t>
  </si>
  <si>
    <t>Fencing</t>
  </si>
  <si>
    <t>Inspect Roof</t>
  </si>
  <si>
    <t>Repair Roof</t>
  </si>
  <si>
    <t>Inspect Cladding</t>
  </si>
  <si>
    <t xml:space="preserve">Roll Roofing </t>
  </si>
  <si>
    <t xml:space="preserve">Sheet Metal </t>
  </si>
  <si>
    <t>Vinyl Siding</t>
  </si>
  <si>
    <t xml:space="preserve">Wood Siding </t>
  </si>
  <si>
    <t xml:space="preserve">Cementitious Siding </t>
  </si>
  <si>
    <t xml:space="preserve">Metal Cladding </t>
  </si>
  <si>
    <t xml:space="preserve">Stucco Cladding </t>
  </si>
  <si>
    <t>Clean Cladding</t>
  </si>
  <si>
    <t>Repair Cladding</t>
  </si>
  <si>
    <t>Use number of areas with damaged flooring (adjust for type and complexity)</t>
  </si>
  <si>
    <t>Use number of areas with damaged walls (adjust for type and complexity)</t>
  </si>
  <si>
    <t>Painted Walls &amp; Ceilings</t>
  </si>
  <si>
    <t>Painted Walls in Boardroom</t>
  </si>
  <si>
    <t>Re-paint all interior walls &amp; ceilings (remainder of building)</t>
  </si>
  <si>
    <t>Painted Walls &amp; Ceilings (remainder of building)</t>
  </si>
  <si>
    <t>EXT 3.2.01</t>
  </si>
  <si>
    <t>EXT 3.2.02</t>
  </si>
  <si>
    <t>EXT 3.2.03</t>
  </si>
  <si>
    <t>EXT 3.2.04</t>
  </si>
  <si>
    <t>EXT 3.2.05</t>
  </si>
  <si>
    <t>EXT 3.2.06</t>
  </si>
  <si>
    <t>EXT 3.2.07</t>
  </si>
  <si>
    <t>EXT 3.2.08</t>
  </si>
  <si>
    <t>EXT 3.2.09</t>
  </si>
  <si>
    <t>EXT 3.1.01</t>
  </si>
  <si>
    <t>EXT 3.1.02</t>
  </si>
  <si>
    <t>EXT 3.1.03</t>
  </si>
  <si>
    <t>EXT 3.1.04</t>
  </si>
  <si>
    <t>EXT 3.1.05</t>
  </si>
  <si>
    <t>EXT 3.1.06</t>
  </si>
  <si>
    <t>EXT 3.1.07</t>
  </si>
  <si>
    <t>EXT 3.1.08</t>
  </si>
  <si>
    <t>EXT 3.1.09</t>
  </si>
  <si>
    <t>INT 4.11.01</t>
  </si>
  <si>
    <t>INT 4.11.02</t>
  </si>
  <si>
    <t>INT 4.11.03</t>
  </si>
  <si>
    <t>INT 4.11.04</t>
  </si>
  <si>
    <t>INT 4.11.05</t>
  </si>
  <si>
    <t>INT 4.11.06</t>
  </si>
  <si>
    <t>INT 4.11.07</t>
  </si>
  <si>
    <t>INT 4.11.08</t>
  </si>
  <si>
    <t>INT 4.11.09</t>
  </si>
  <si>
    <t>MECH 5.1.01</t>
  </si>
  <si>
    <t>MECH 5.1.02</t>
  </si>
  <si>
    <t>MECH 5.1.03</t>
  </si>
  <si>
    <t>MECH 5.1.04</t>
  </si>
  <si>
    <t>MECH 5.1.05</t>
  </si>
  <si>
    <t>MECH 5.1.06</t>
  </si>
  <si>
    <t>MECH 5.1.07</t>
  </si>
  <si>
    <t>MECH 5.1.08</t>
  </si>
  <si>
    <t>MECH 5.1.09</t>
  </si>
  <si>
    <t>MECH 5.2.01</t>
  </si>
  <si>
    <t>MECH 5.2.02</t>
  </si>
  <si>
    <t>MECH 5.2.03</t>
  </si>
  <si>
    <t>MECH 5.2.04</t>
  </si>
  <si>
    <t>MECH 5.2.05</t>
  </si>
  <si>
    <t>MECH 5.2.06</t>
  </si>
  <si>
    <t>MECH 5.2.07</t>
  </si>
  <si>
    <t>MECH 5.2.08</t>
  </si>
  <si>
    <t>MECH 5.2.09</t>
  </si>
  <si>
    <t>ELEC 6.2.01</t>
  </si>
  <si>
    <t>ELEC 6.2.02</t>
  </si>
  <si>
    <t>ELEC 6.2.03</t>
  </si>
  <si>
    <t>ELEC 6.2.04</t>
  </si>
  <si>
    <t>ELEC 6.2.05</t>
  </si>
  <si>
    <t>ELEC 6.2.06</t>
  </si>
  <si>
    <t>ELEC 6.2.07</t>
  </si>
  <si>
    <t>ELEC 6.2.08</t>
  </si>
  <si>
    <t>ELEC 6.2.09</t>
  </si>
  <si>
    <t>FIRE 7.1.01</t>
  </si>
  <si>
    <t>FIRE 7.1.02</t>
  </si>
  <si>
    <t>FIRE 7.1.03</t>
  </si>
  <si>
    <t>FIRE 7.1.04</t>
  </si>
  <si>
    <t>FIRE 7.1.05</t>
  </si>
  <si>
    <t>FIRE 7.1.06</t>
  </si>
  <si>
    <t>FIRE 7.1.07</t>
  </si>
  <si>
    <t>FIRE 7.1.08</t>
  </si>
  <si>
    <t>FIRE 7.1.09</t>
  </si>
  <si>
    <t>EXT 3.3.02</t>
  </si>
  <si>
    <t>EXT 3.3.03</t>
  </si>
  <si>
    <t>EXT 3.3.04</t>
  </si>
  <si>
    <t>EXT 3.4.02</t>
  </si>
  <si>
    <t>EXT 3.5.01</t>
  </si>
  <si>
    <t>EXT 3.4.03</t>
  </si>
  <si>
    <t>Inspect all overhead &amp; coiling overhead doors</t>
  </si>
  <si>
    <t>Overhead Doors</t>
  </si>
  <si>
    <t>Use number of overhead doors</t>
  </si>
  <si>
    <t>EXT 3.3.01</t>
  </si>
  <si>
    <t>EXT 3.3.05</t>
  </si>
  <si>
    <t>EXT 3.3.06</t>
  </si>
  <si>
    <t>EXT 3.3.07</t>
  </si>
  <si>
    <t>EXT 3.4.01</t>
  </si>
  <si>
    <t>EXT 3.4.04</t>
  </si>
  <si>
    <t>EXT 3.4.05</t>
  </si>
  <si>
    <t>EXT 3.4.06</t>
  </si>
  <si>
    <t>EXT 3.5.02</t>
  </si>
  <si>
    <t>EXT 3.5.03</t>
  </si>
  <si>
    <t>EXT 3.5.04</t>
  </si>
  <si>
    <t>EXT 3.5.05</t>
  </si>
  <si>
    <t>EXT 3.5.06</t>
  </si>
  <si>
    <t>EXT 3.6.01</t>
  </si>
  <si>
    <t>EXT 3.6.02</t>
  </si>
  <si>
    <t>Use extent of damaged roof area</t>
  </si>
  <si>
    <t>Use total deck membrane area</t>
  </si>
  <si>
    <t>Use total exterior wall area</t>
  </si>
  <si>
    <t>Use area of wall requiring repair</t>
  </si>
  <si>
    <t>Use number of windows and patio doors</t>
  </si>
  <si>
    <t>Use total number of door leafs</t>
  </si>
  <si>
    <t>SITE 1.1.01</t>
  </si>
  <si>
    <t>SITE 1.1.02</t>
  </si>
  <si>
    <t>SITE 1.1.03</t>
  </si>
  <si>
    <t>SITE 1.1.04</t>
  </si>
  <si>
    <t>SITE 1.2.01</t>
  </si>
  <si>
    <t>SITE 1.2.02</t>
  </si>
  <si>
    <t>SITE 1.2.03</t>
  </si>
  <si>
    <t>SITE 1.2.04</t>
  </si>
  <si>
    <t>SITE 1.3.01</t>
  </si>
  <si>
    <t>SITE 1.3.02</t>
  </si>
  <si>
    <t>SITE 1.3.03</t>
  </si>
  <si>
    <t>SITE 1.3.04</t>
  </si>
  <si>
    <t>SITE 1.4.01</t>
  </si>
  <si>
    <t>SITE 1.4.02</t>
  </si>
  <si>
    <t>SITE 1.4.03</t>
  </si>
  <si>
    <t>SITE 1.4.04</t>
  </si>
  <si>
    <t>SITE 1.5.01</t>
  </si>
  <si>
    <t>SITE 1.5.02</t>
  </si>
  <si>
    <t>SITE 1.5.03</t>
  </si>
  <si>
    <t>SITE 1.6.01</t>
  </si>
  <si>
    <t>SITE 1.6.02</t>
  </si>
  <si>
    <t>SITE 1.6.03</t>
  </si>
  <si>
    <t>SITE 1.6.04</t>
  </si>
  <si>
    <t>SITE 1.7.02</t>
  </si>
  <si>
    <t>SITE 1.8.03</t>
  </si>
  <si>
    <t>SITE 1.8.04</t>
  </si>
  <si>
    <t>SITE 1.8.05</t>
  </si>
  <si>
    <t>SITE 1.8.06</t>
  </si>
  <si>
    <t>SITE 1.8.07</t>
  </si>
  <si>
    <t>SITE 1.8.08</t>
  </si>
  <si>
    <t>SITE 1.8.09</t>
  </si>
  <si>
    <t>SITE 1.9.02</t>
  </si>
  <si>
    <t>SITE 1.9.03</t>
  </si>
  <si>
    <t>STRUCT 2.5.01</t>
  </si>
  <si>
    <t>STRUCT 2.5.02</t>
  </si>
  <si>
    <t>INT 4.1.02</t>
  </si>
  <si>
    <t>INT 4.1.03</t>
  </si>
  <si>
    <t>INT 4.2.01</t>
  </si>
  <si>
    <t>INT 4.3.01</t>
  </si>
  <si>
    <t>INT 4.4.01</t>
  </si>
  <si>
    <t>INT 4.4.02</t>
  </si>
  <si>
    <t>INT 4.5.04</t>
  </si>
  <si>
    <t>INT 4.6.01</t>
  </si>
  <si>
    <t>INT 4.6.02</t>
  </si>
  <si>
    <t>INT 4.6.03</t>
  </si>
  <si>
    <t>INT 4.7.01</t>
  </si>
  <si>
    <t>INT 4.7.02</t>
  </si>
  <si>
    <t>INT 4.8.01</t>
  </si>
  <si>
    <t>INT 4.8.02</t>
  </si>
  <si>
    <t>INT 4.8.03</t>
  </si>
  <si>
    <t>INT 4.9.02</t>
  </si>
  <si>
    <t>INT 4.10.03</t>
  </si>
  <si>
    <t>INT 4.10.04</t>
  </si>
  <si>
    <t>INT 4.10.05</t>
  </si>
  <si>
    <t>ELEC 6.1.01</t>
  </si>
  <si>
    <t>ELEC 6.1.03</t>
  </si>
  <si>
    <t>ELEC 6.1.04</t>
  </si>
  <si>
    <t>ELEC 6.3.01</t>
  </si>
  <si>
    <t>ELEC 6.3.02</t>
  </si>
  <si>
    <t>ELEC 6.4.01</t>
  </si>
  <si>
    <t>ELEC 6.4.02</t>
  </si>
  <si>
    <t>ELEC 6.5.01</t>
  </si>
  <si>
    <t>ELEC 6.5.02</t>
  </si>
  <si>
    <t>ELEC 6.5.03</t>
  </si>
  <si>
    <t>ELEC 6.6.01</t>
  </si>
  <si>
    <t>MECH 5.3.01</t>
  </si>
  <si>
    <t>INT 4.1.01</t>
  </si>
  <si>
    <t>INT 4.5.01</t>
  </si>
  <si>
    <t>INT 4.5.02</t>
  </si>
  <si>
    <t>INT 4.5.03</t>
  </si>
  <si>
    <t>INT 4.9.01</t>
  </si>
  <si>
    <t>INT 4.10.01</t>
  </si>
  <si>
    <t>INT 4.10.02</t>
  </si>
  <si>
    <t>STRUCT 2.5.03</t>
  </si>
  <si>
    <t>STRUCT 2.6.01</t>
  </si>
  <si>
    <t>SITE 1.6.05</t>
  </si>
  <si>
    <t>SITE 1.7.01</t>
  </si>
  <si>
    <t>SITE 1.8.01</t>
  </si>
  <si>
    <t>SITE 1.9.01</t>
  </si>
  <si>
    <t>FIRE 7.2.01</t>
  </si>
  <si>
    <t>ELEV 8.1.01</t>
  </si>
  <si>
    <t>ELEV 8.1.02</t>
  </si>
  <si>
    <t>ELEV 8.1.03</t>
  </si>
  <si>
    <t>ELEV 8.2.01</t>
  </si>
  <si>
    <t>SITE 1.1.05</t>
  </si>
  <si>
    <t>SITE 1.1.06</t>
  </si>
  <si>
    <t>SITE 1.1.07</t>
  </si>
  <si>
    <t>SITE 1.1.08</t>
  </si>
  <si>
    <t>SITE 1.2.05</t>
  </si>
  <si>
    <t>SITE 1.2.06</t>
  </si>
  <si>
    <t>SITE 1.3.05</t>
  </si>
  <si>
    <t>SITE 1.3.06</t>
  </si>
  <si>
    <t>SITE 1.4.05</t>
  </si>
  <si>
    <t>SITE 1.4.06</t>
  </si>
  <si>
    <t>SITE 1.5.04</t>
  </si>
  <si>
    <t>SITE 1.5.05</t>
  </si>
  <si>
    <t>SITE 1.5.06</t>
  </si>
  <si>
    <t>SITE 1.6.06</t>
  </si>
  <si>
    <t>SITE 1.7.03</t>
  </si>
  <si>
    <t>SITE 1.7.04</t>
  </si>
  <si>
    <t>SITE 1.7.05</t>
  </si>
  <si>
    <t>SITE 1.7.06</t>
  </si>
  <si>
    <t>SITE 1.8.02</t>
  </si>
  <si>
    <t>SITE 1.9.04</t>
  </si>
  <si>
    <t>SITE 1.9.05</t>
  </si>
  <si>
    <t>SITE 1.9.06</t>
  </si>
  <si>
    <t>STRUCT 2.1.01</t>
  </si>
  <si>
    <t>STRUCT 2.1.02</t>
  </si>
  <si>
    <t>STRUCT 2.1.03</t>
  </si>
  <si>
    <t>STRUCT 2.1.04</t>
  </si>
  <si>
    <t>STRUCT 2.2.01</t>
  </si>
  <si>
    <t>STRUCT 2.2.02</t>
  </si>
  <si>
    <t>STRUCT 2.2.03</t>
  </si>
  <si>
    <t>STRUCT 2.2.04</t>
  </si>
  <si>
    <t>STRUCT 2.3.01</t>
  </si>
  <si>
    <t>STRUCT 2.3.02</t>
  </si>
  <si>
    <t>STRUCT 2.3.03</t>
  </si>
  <si>
    <t>STRUCT 2.3.04</t>
  </si>
  <si>
    <t>STRUCT 2.4.01</t>
  </si>
  <si>
    <t>ELEV 8.2.04</t>
  </si>
  <si>
    <t>ELEV 8.2.03</t>
  </si>
  <si>
    <t>ELEV 8.2.02</t>
  </si>
  <si>
    <t>ELEV 8.1.06</t>
  </si>
  <si>
    <t>ELEV 8.1.05</t>
  </si>
  <si>
    <t>ELEV 8.1.04</t>
  </si>
  <si>
    <t>FIRE 7.2.04</t>
  </si>
  <si>
    <t>FIRE 7.2.03</t>
  </si>
  <si>
    <t>FIRE 7.2.02</t>
  </si>
  <si>
    <t>ELEC 6.6.04</t>
  </si>
  <si>
    <t>ELEC 6.6.03</t>
  </si>
  <si>
    <t>ELEC 6.6.02</t>
  </si>
  <si>
    <t>ELEC 6.5.06</t>
  </si>
  <si>
    <t>ELEC 6.5.05</t>
  </si>
  <si>
    <t>ELEC 6.5.04</t>
  </si>
  <si>
    <t>ELEC 6.4.06</t>
  </si>
  <si>
    <t>ELEC 6.4.05</t>
  </si>
  <si>
    <t>ELEC 6.4.04</t>
  </si>
  <si>
    <t>ELEC 6.4.03</t>
  </si>
  <si>
    <t>ELEC 6.3.06</t>
  </si>
  <si>
    <t>ELEC 6.3.05</t>
  </si>
  <si>
    <t>ELEC 6.3.04</t>
  </si>
  <si>
    <t>ELEC 6.3.03</t>
  </si>
  <si>
    <t>ELEC 6.1.08</t>
  </si>
  <si>
    <t>ELEC 6.1.07</t>
  </si>
  <si>
    <t>ELEC 6.1.06</t>
  </si>
  <si>
    <t>ELEC 6.1.05</t>
  </si>
  <si>
    <t>ELEC 6.1.02</t>
  </si>
  <si>
    <t>MECH 5.3.04</t>
  </si>
  <si>
    <t>MECH 5.3.03</t>
  </si>
  <si>
    <t>MECH 5.3.02</t>
  </si>
  <si>
    <t>INT 4.10.09</t>
  </si>
  <si>
    <t>INT 4.10.08</t>
  </si>
  <si>
    <t>INT 4.10.07</t>
  </si>
  <si>
    <t>INT 4.10.06</t>
  </si>
  <si>
    <t>INT 4.9.06</t>
  </si>
  <si>
    <t>INT 4.9.05</t>
  </si>
  <si>
    <t>INT 4.9.04</t>
  </si>
  <si>
    <t>INT 4.9.03</t>
  </si>
  <si>
    <t>INT 4.8.06</t>
  </si>
  <si>
    <t>INT 4.8.05</t>
  </si>
  <si>
    <t>INT 4.8.04</t>
  </si>
  <si>
    <t>INT 4.7.06</t>
  </si>
  <si>
    <t>INT 4.7.05</t>
  </si>
  <si>
    <t>INT 4.7.04</t>
  </si>
  <si>
    <t>INT 4.7.03</t>
  </si>
  <si>
    <t>INT 4.6.06</t>
  </si>
  <si>
    <t>INT 4.6.05</t>
  </si>
  <si>
    <t>INT 4.6.04</t>
  </si>
  <si>
    <t>INT 4.5.06</t>
  </si>
  <si>
    <t>INT 4.5.05</t>
  </si>
  <si>
    <t>INT 4.4.06</t>
  </si>
  <si>
    <t>INT 4.4.05</t>
  </si>
  <si>
    <t>INT 4.4.04</t>
  </si>
  <si>
    <t>INT 4.4.03</t>
  </si>
  <si>
    <t>INT 4.3.06</t>
  </si>
  <si>
    <t>INT 4.3.05</t>
  </si>
  <si>
    <t>INT 4.3.04</t>
  </si>
  <si>
    <t>INT 4.3.03</t>
  </si>
  <si>
    <t>INT 4.3.02</t>
  </si>
  <si>
    <t>INT 4.2.06</t>
  </si>
  <si>
    <t>INT 4.2.05</t>
  </si>
  <si>
    <t>INT 4.2.04</t>
  </si>
  <si>
    <t>INT 4.2.03</t>
  </si>
  <si>
    <t>INT 4.2.02</t>
  </si>
  <si>
    <t>INT 4.1.06</t>
  </si>
  <si>
    <t>INT 4.1.05</t>
  </si>
  <si>
    <t>INT 4.1.04</t>
  </si>
  <si>
    <t>EXT 3.6.04</t>
  </si>
  <si>
    <t>EXT 3.6.03</t>
  </si>
  <si>
    <t>STRUCT 2.6.04</t>
  </si>
  <si>
    <t>STRUCT 2.6.03</t>
  </si>
  <si>
    <t>STRUCT 2.6.02</t>
  </si>
  <si>
    <t>STRUCT 2.5.06</t>
  </si>
  <si>
    <t>STRUCT 2.5.05</t>
  </si>
  <si>
    <t>STRUCT 2.5.04</t>
  </si>
  <si>
    <t>STRUCT 2.4.04</t>
  </si>
  <si>
    <t>STRUCT 2.4.03</t>
  </si>
  <si>
    <t>STRUCT 2.4.02</t>
  </si>
  <si>
    <t>Use area of planters</t>
  </si>
  <si>
    <t>Use irrigation areas</t>
  </si>
  <si>
    <t xml:space="preserve">Use sports field site area </t>
  </si>
  <si>
    <t>Fill with length of fencing for budgeting (adjust work order to suit actual)</t>
  </si>
  <si>
    <t>Fill with all paved areas</t>
  </si>
  <si>
    <t>Fill with all gravel areas</t>
  </si>
  <si>
    <t>Fill with total from concrete and gravel parking and driveway areas</t>
  </si>
  <si>
    <t>Fill with total from concrete and gravel walkways</t>
  </si>
  <si>
    <t>Fill with sidewalk area</t>
  </si>
  <si>
    <t>Use area of play surface repair of borders (i.e.e wood, concrete, rock, etc)</t>
  </si>
  <si>
    <t>Use length of wall</t>
  </si>
  <si>
    <t>Fill with finished floor area</t>
  </si>
  <si>
    <t>Fill with number of gas fired water heaters</t>
  </si>
  <si>
    <t>Fill if ventilation is in building (adjust rate based on length and complexity of ductwork)</t>
  </si>
  <si>
    <t>Fill if ventilation is in building (adjust rate based on complexity of controls)</t>
  </si>
  <si>
    <t>Fill if there are power connections to the facility (adjust for number of poles and complexity of supply)</t>
  </si>
  <si>
    <t>Fill if there are power connections to the facility (adjust for number of panels and complexity of distribution)</t>
  </si>
  <si>
    <t>Inventory Notes</t>
  </si>
  <si>
    <t>(Multiple Items)</t>
  </si>
  <si>
    <t>Operator Hours</t>
  </si>
  <si>
    <t>OPERATOR HOURS</t>
  </si>
  <si>
    <t>NUMBER OF FULL TIME EQUIVALENTS</t>
  </si>
  <si>
    <t>MAINTENANCE PLANNING HOURS</t>
  </si>
  <si>
    <t>Total Floor Area</t>
  </si>
  <si>
    <t>Maintenance Unit Cost</t>
  </si>
  <si>
    <t>Annual Maintenance Cost/m2</t>
  </si>
  <si>
    <t xml:space="preserve"> </t>
  </si>
  <si>
    <t>#N/A</t>
  </si>
  <si>
    <t>m2</t>
  </si>
  <si>
    <t>/m2</t>
  </si>
  <si>
    <t>Work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</si>
</sst>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0.00000"/>
  </numFmts>
  <fonts count="20" x14ac:knownFonts="1">
    <font>
      <sz val="11"/>
      <color theme="1"/>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0"/>
      <name val="Calibri"/>
      <family val="2"/>
      <scheme val="minor"/>
    </font>
    <font>
      <u/>
      <sz val="11"/>
      <color theme="10"/>
      <name val="Calibri"/>
      <family val="2"/>
      <scheme val="minor"/>
    </font>
    <font>
      <b/>
      <u/>
      <sz val="11"/>
      <color theme="10"/>
      <name val="Calibri"/>
      <family val="2"/>
      <scheme val="minor"/>
    </font>
    <font>
      <b/>
      <u/>
      <sz val="11"/>
      <color theme="1"/>
      <name val="Calibri"/>
      <family val="2"/>
      <scheme val="minor"/>
    </font>
    <font>
      <sz val="11"/>
      <color rgb="FF000000"/>
      <name val="Calibri"/>
      <family val="2"/>
      <scheme val="minor"/>
    </font>
    <font>
      <sz val="11"/>
      <name val="Calibri"/>
      <family val="2"/>
      <scheme val="minor"/>
    </font>
    <font>
      <i/>
      <sz val="10"/>
      <color theme="1"/>
      <name val="Calibri"/>
      <family val="2"/>
      <scheme val="minor"/>
    </font>
    <font>
      <b/>
      <sz val="10"/>
      <color theme="1"/>
      <name val="Calibri"/>
      <family val="2"/>
      <scheme val="minor"/>
    </font>
    <font>
      <b/>
      <sz val="8"/>
      <color theme="1"/>
      <name val="Calibri"/>
      <family val="2"/>
      <scheme val="minor"/>
    </font>
    <font>
      <b/>
      <sz val="1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sz val="8"/>
      <name val="Calibri"/>
      <family val="2"/>
      <scheme val="minor"/>
    </font>
    <font>
      <sz val="11"/>
      <color theme="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
      <patternFill patternType="solid">
        <fgColor theme="8" tint="0.39997558519241921"/>
        <bgColor theme="8" tint="0.79998168889431442"/>
      </patternFill>
    </fill>
    <fill>
      <patternFill patternType="solid">
        <fgColor theme="8"/>
        <bgColor indexed="64"/>
      </patternFill>
    </fill>
  </fills>
  <borders count="6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diagonal/>
    </border>
    <border>
      <left style="medium">
        <color indexed="64"/>
      </left>
      <right/>
      <top style="thin">
        <color theme="8"/>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theme="8"/>
      </right>
      <top style="thin">
        <color theme="8"/>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style="thin">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theme="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theme="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8"/>
      </top>
      <bottom style="medium">
        <color indexed="64"/>
      </bottom>
      <diagonal/>
    </border>
    <border>
      <left style="medium">
        <color indexed="64"/>
      </left>
      <right/>
      <top style="thin">
        <color theme="8"/>
      </top>
      <bottom style="medium">
        <color indexed="64"/>
      </bottom>
      <diagonal/>
    </border>
    <border>
      <left/>
      <right/>
      <top style="thin">
        <color theme="8"/>
      </top>
      <bottom style="medium">
        <color indexed="64"/>
      </bottom>
      <diagonal/>
    </border>
    <border>
      <left/>
      <right style="medium">
        <color indexed="64"/>
      </right>
      <top style="thin">
        <color theme="8"/>
      </top>
      <bottom style="medium">
        <color indexed="64"/>
      </bottom>
      <diagonal/>
    </border>
    <border>
      <left style="medium">
        <color indexed="64"/>
      </left>
      <right style="medium">
        <color indexed="64"/>
      </right>
      <top/>
      <bottom style="medium">
        <color indexed="64"/>
      </bottom>
      <diagonal/>
    </border>
  </borders>
  <cellStyleXfs count="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44" fontId="2" fillId="0" borderId="0" applyFont="0" applyFill="0" applyBorder="0" applyAlignment="0" applyProtection="0"/>
    <xf numFmtId="0" fontId="2" fillId="0" borderId="0"/>
    <xf numFmtId="0" fontId="6" fillId="0" borderId="0" applyNumberForma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cellStyleXfs>
  <cellXfs count="275">
    <xf numFmtId="0" fontId="0" fillId="0" borderId="0" xfId="0"/>
    <xf numFmtId="0" fontId="4" fillId="0" borderId="0" xfId="0" applyFont="1"/>
    <xf numFmtId="0" fontId="0" fillId="0" borderId="0" xfId="0"/>
    <xf numFmtId="0" fontId="0" fillId="0" borderId="0" xfId="0" applyFill="1" applyBorder="1"/>
    <xf numFmtId="0" fontId="7" fillId="0" borderId="0" xfId="5" applyFont="1" applyFill="1" applyBorder="1" applyAlignment="1">
      <alignment wrapText="1"/>
    </xf>
    <xf numFmtId="0" fontId="0" fillId="0" borderId="0" xfId="0" applyBorder="1"/>
    <xf numFmtId="0" fontId="0" fillId="0" borderId="0" xfId="0" applyAlignment="1">
      <alignment wrapText="1"/>
    </xf>
    <xf numFmtId="0" fontId="0" fillId="0" borderId="0" xfId="0" applyAlignment="1">
      <alignment vertical="top" wrapText="1"/>
    </xf>
    <xf numFmtId="0" fontId="0" fillId="0" borderId="0" xfId="0" applyFill="1" applyBorder="1" applyAlignment="1">
      <alignment wrapText="1"/>
    </xf>
    <xf numFmtId="0" fontId="0" fillId="0" borderId="0" xfId="0"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0" fillId="0" borderId="6" xfId="0" applyBorder="1" applyAlignment="1">
      <alignment vertical="top" wrapText="1"/>
    </xf>
    <xf numFmtId="44" fontId="0" fillId="0" borderId="6" xfId="3" applyFont="1" applyBorder="1" applyAlignment="1">
      <alignment vertical="top"/>
    </xf>
    <xf numFmtId="44" fontId="0" fillId="0" borderId="6" xfId="3" applyFont="1" applyFill="1" applyBorder="1" applyAlignment="1">
      <alignment horizontal="left" vertical="top"/>
    </xf>
    <xf numFmtId="44" fontId="0" fillId="0" borderId="6" xfId="3" applyFont="1" applyBorder="1" applyAlignment="1">
      <alignment horizontal="left" vertical="top"/>
    </xf>
    <xf numFmtId="44" fontId="0" fillId="0" borderId="6" xfId="3" applyFont="1" applyBorder="1" applyAlignment="1">
      <alignment vertical="top" wrapText="1"/>
    </xf>
    <xf numFmtId="0" fontId="0" fillId="0" borderId="9" xfId="0" applyBorder="1" applyAlignment="1">
      <alignment vertical="top" wrapText="1"/>
    </xf>
    <xf numFmtId="44" fontId="0" fillId="0" borderId="9" xfId="3" applyFont="1" applyFill="1" applyBorder="1" applyAlignment="1">
      <alignment horizontal="left" vertical="top"/>
    </xf>
    <xf numFmtId="44" fontId="0" fillId="0" borderId="9" xfId="3" applyFont="1" applyBorder="1" applyAlignment="1">
      <alignment vertical="top"/>
    </xf>
    <xf numFmtId="0" fontId="0" fillId="0" borderId="5" xfId="0" applyBorder="1" applyAlignment="1">
      <alignment vertical="top" wrapText="1"/>
    </xf>
    <xf numFmtId="44" fontId="0" fillId="0" borderId="5" xfId="3" applyFont="1" applyFill="1" applyBorder="1" applyAlignment="1">
      <alignment horizontal="left" vertical="top"/>
    </xf>
    <xf numFmtId="44" fontId="0" fillId="0" borderId="5" xfId="3" applyFont="1" applyBorder="1" applyAlignment="1">
      <alignment vertical="top"/>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0" fillId="0" borderId="8" xfId="0" applyBorder="1" applyAlignment="1">
      <alignment vertical="top"/>
    </xf>
    <xf numFmtId="44" fontId="0" fillId="0" borderId="7" xfId="3" applyFont="1" applyBorder="1" applyAlignment="1">
      <alignment vertical="top"/>
    </xf>
    <xf numFmtId="0" fontId="0" fillId="0" borderId="8" xfId="0" applyNumberFormat="1" applyBorder="1" applyAlignment="1">
      <alignment vertical="top"/>
    </xf>
    <xf numFmtId="44" fontId="0" fillId="0" borderId="7" xfId="3" applyFont="1" applyBorder="1" applyAlignment="1">
      <alignment vertical="top" wrapText="1"/>
    </xf>
    <xf numFmtId="44" fontId="0" fillId="0" borderId="1" xfId="3" applyFont="1" applyBorder="1" applyAlignment="1">
      <alignment vertical="top"/>
    </xf>
    <xf numFmtId="44" fontId="0" fillId="0" borderId="3" xfId="3" applyFont="1" applyBorder="1" applyAlignment="1">
      <alignment vertical="top"/>
    </xf>
    <xf numFmtId="44" fontId="0" fillId="0" borderId="0" xfId="3" applyFont="1" applyBorder="1"/>
    <xf numFmtId="0" fontId="0" fillId="0" borderId="8" xfId="0" applyFill="1" applyBorder="1" applyAlignment="1">
      <alignment vertical="top"/>
    </xf>
    <xf numFmtId="0" fontId="0" fillId="0" borderId="6" xfId="0" applyFill="1" applyBorder="1" applyAlignment="1">
      <alignment vertical="top" wrapText="1"/>
    </xf>
    <xf numFmtId="44" fontId="0" fillId="0" borderId="6" xfId="3" applyFont="1" applyFill="1" applyBorder="1" applyAlignment="1">
      <alignment vertical="top"/>
    </xf>
    <xf numFmtId="44" fontId="0" fillId="0" borderId="7" xfId="3" applyFont="1" applyFill="1" applyBorder="1" applyAlignment="1">
      <alignment vertical="top"/>
    </xf>
    <xf numFmtId="0" fontId="4" fillId="0" borderId="0" xfId="0" applyFont="1" applyAlignment="1">
      <alignment vertical="top" wrapText="1"/>
    </xf>
    <xf numFmtId="0" fontId="7" fillId="0" borderId="0" xfId="5" applyFont="1" applyFill="1" applyBorder="1" applyAlignment="1">
      <alignment horizontal="center" wrapText="1"/>
    </xf>
    <xf numFmtId="0" fontId="7" fillId="0" borderId="0" xfId="5" applyFont="1" applyFill="1" applyBorder="1" applyAlignment="1">
      <alignment horizontal="center" vertical="top" wrapText="1"/>
    </xf>
    <xf numFmtId="0" fontId="0" fillId="0" borderId="4" xfId="0" applyBorder="1" applyAlignment="1">
      <alignment vertical="top"/>
    </xf>
    <xf numFmtId="0" fontId="0" fillId="0" borderId="2" xfId="0" applyBorder="1" applyAlignment="1">
      <alignment vertical="top"/>
    </xf>
    <xf numFmtId="44" fontId="0" fillId="0" borderId="9" xfId="3" applyFont="1" applyBorder="1" applyAlignment="1">
      <alignment horizontal="left" vertical="top"/>
    </xf>
    <xf numFmtId="44" fontId="0" fillId="0" borderId="5" xfId="3" applyFont="1" applyBorder="1" applyAlignment="1">
      <alignment horizontal="left" vertical="top"/>
    </xf>
    <xf numFmtId="0" fontId="9" fillId="0" borderId="6" xfId="0" applyFont="1" applyBorder="1"/>
    <xf numFmtId="0" fontId="0" fillId="0" borderId="0" xfId="0" pivotButton="1"/>
    <xf numFmtId="0" fontId="0" fillId="0" borderId="0" xfId="0" applyAlignment="1">
      <alignment horizontal="left"/>
    </xf>
    <xf numFmtId="0" fontId="0" fillId="0" borderId="0" xfId="0" applyFill="1"/>
    <xf numFmtId="0" fontId="3" fillId="0" borderId="5" xfId="0" applyFont="1" applyBorder="1" applyAlignment="1">
      <alignment horizontal="center" vertical="center" wrapText="1"/>
    </xf>
    <xf numFmtId="0" fontId="3" fillId="0" borderId="0" xfId="0" applyFont="1"/>
    <xf numFmtId="1" fontId="0" fillId="0" borderId="21"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2" xfId="0" applyBorder="1" applyAlignment="1">
      <alignment horizontal="left"/>
    </xf>
    <xf numFmtId="0" fontId="5" fillId="3" borderId="1" xfId="0" applyFont="1" applyFill="1" applyBorder="1" applyAlignment="1">
      <alignment horizontal="center"/>
    </xf>
    <xf numFmtId="0" fontId="5" fillId="3" borderId="23" xfId="0" applyFont="1" applyFill="1" applyBorder="1" applyAlignment="1">
      <alignment horizontal="center"/>
    </xf>
    <xf numFmtId="0" fontId="5" fillId="3" borderId="23" xfId="0" applyFont="1" applyFill="1" applyBorder="1" applyAlignment="1">
      <alignment horizontal="center" vertical="center"/>
    </xf>
    <xf numFmtId="0" fontId="3" fillId="3" borderId="27" xfId="0" applyFont="1" applyFill="1" applyBorder="1" applyAlignment="1">
      <alignment vertical="center"/>
    </xf>
    <xf numFmtId="0" fontId="3" fillId="3" borderId="27" xfId="0" applyFont="1" applyFill="1" applyBorder="1" applyAlignment="1">
      <alignment horizontal="left" vertical="center"/>
    </xf>
    <xf numFmtId="0" fontId="0" fillId="4" borderId="6" xfId="0" applyFill="1" applyBorder="1"/>
    <xf numFmtId="0" fontId="4" fillId="0" borderId="0" xfId="0" applyFont="1" applyAlignment="1">
      <alignment horizontal="left"/>
    </xf>
    <xf numFmtId="0" fontId="11" fillId="0" borderId="0" xfId="0" applyFont="1"/>
    <xf numFmtId="0" fontId="12" fillId="0" borderId="0" xfId="0" applyFont="1"/>
    <xf numFmtId="44" fontId="0" fillId="0" borderId="31" xfId="0" applyNumberFormat="1" applyBorder="1"/>
    <xf numFmtId="0" fontId="0" fillId="0" borderId="21" xfId="0" applyBorder="1" applyAlignment="1">
      <alignment horizontal="left"/>
    </xf>
    <xf numFmtId="0" fontId="3" fillId="3" borderId="13" xfId="0" applyFont="1" applyFill="1" applyBorder="1" applyAlignment="1">
      <alignment vertical="center"/>
    </xf>
    <xf numFmtId="44" fontId="0" fillId="0" borderId="0" xfId="0" applyNumberFormat="1"/>
    <xf numFmtId="0" fontId="5" fillId="3" borderId="30" xfId="0" applyFont="1" applyFill="1" applyBorder="1" applyAlignment="1">
      <alignment horizontal="center"/>
    </xf>
    <xf numFmtId="44" fontId="0" fillId="0" borderId="21" xfId="3" applyFont="1" applyBorder="1" applyAlignment="1">
      <alignment horizontal="center"/>
    </xf>
    <xf numFmtId="0" fontId="5" fillId="3" borderId="30" xfId="0" applyFont="1" applyFill="1" applyBorder="1" applyAlignment="1">
      <alignment vertical="center"/>
    </xf>
    <xf numFmtId="0" fontId="5" fillId="3" borderId="30" xfId="0" applyFont="1" applyFill="1" applyBorder="1" applyAlignment="1">
      <alignment horizontal="center" vertical="center"/>
    </xf>
    <xf numFmtId="0" fontId="5" fillId="3" borderId="35" xfId="0" applyFont="1"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Alignment="1">
      <alignment horizontal="left" indent="1"/>
    </xf>
    <xf numFmtId="0" fontId="0" fillId="0" borderId="0" xfId="0" applyAlignment="1"/>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0" fontId="13" fillId="2" borderId="0" xfId="0" applyFont="1" applyFill="1" applyAlignment="1">
      <alignment horizontal="center" vertical="center"/>
    </xf>
    <xf numFmtId="0" fontId="13" fillId="6" borderId="0" xfId="0" applyFont="1" applyFill="1" applyAlignment="1">
      <alignment horizontal="center" vertical="center"/>
    </xf>
    <xf numFmtId="0" fontId="3" fillId="0" borderId="0" xfId="0" applyFont="1" applyFill="1"/>
    <xf numFmtId="0" fontId="3" fillId="3" borderId="32" xfId="0" applyFont="1" applyFill="1" applyBorder="1" applyAlignment="1"/>
    <xf numFmtId="0" fontId="3" fillId="3" borderId="34" xfId="0" applyFont="1" applyFill="1" applyBorder="1" applyAlignment="1"/>
    <xf numFmtId="44" fontId="0" fillId="2" borderId="7" xfId="3" applyFont="1" applyFill="1" applyBorder="1" applyAlignment="1">
      <alignment vertical="top"/>
    </xf>
    <xf numFmtId="0" fontId="4" fillId="0" borderId="0" xfId="0" applyFont="1" applyFill="1" applyBorder="1" applyAlignment="1">
      <alignment horizontal="left" vertical="top" wrapText="1"/>
    </xf>
    <xf numFmtId="0" fontId="5" fillId="7" borderId="36" xfId="0" applyFont="1" applyFill="1" applyBorder="1" applyAlignment="1">
      <alignment horizontal="left" vertical="center"/>
    </xf>
    <xf numFmtId="0" fontId="5" fillId="7" borderId="30" xfId="0" applyFont="1" applyFill="1" applyBorder="1" applyAlignment="1">
      <alignment horizontal="left" vertical="center"/>
    </xf>
    <xf numFmtId="0" fontId="5" fillId="7" borderId="30" xfId="0" applyFont="1" applyFill="1" applyBorder="1" applyAlignment="1">
      <alignment horizontal="left" vertical="center" wrapText="1"/>
    </xf>
    <xf numFmtId="0" fontId="0" fillId="0" borderId="0" xfId="0" applyFill="1" applyAlignment="1">
      <alignment vertical="top" wrapText="1"/>
    </xf>
    <xf numFmtId="0" fontId="0" fillId="0" borderId="0" xfId="0" applyAlignment="1">
      <alignment horizontal="center"/>
    </xf>
    <xf numFmtId="166" fontId="0" fillId="0" borderId="0" xfId="0" applyNumberFormat="1" applyAlignment="1">
      <alignment horizontal="center"/>
    </xf>
    <xf numFmtId="166" fontId="3" fillId="3" borderId="26" xfId="0" applyNumberFormat="1" applyFont="1" applyFill="1" applyBorder="1" applyAlignment="1">
      <alignment horizontal="center"/>
    </xf>
    <xf numFmtId="166" fontId="5" fillId="3" borderId="23" xfId="0" applyNumberFormat="1" applyFont="1" applyFill="1" applyBorder="1" applyAlignment="1">
      <alignment horizontal="center" vertical="center"/>
    </xf>
    <xf numFmtId="166" fontId="0" fillId="0" borderId="22" xfId="0" applyNumberFormat="1" applyBorder="1" applyAlignment="1">
      <alignment horizontal="center"/>
    </xf>
    <xf numFmtId="1" fontId="0" fillId="0" borderId="0" xfId="0" applyNumberFormat="1" applyBorder="1" applyAlignment="1">
      <alignment horizontal="center"/>
    </xf>
    <xf numFmtId="44" fontId="0" fillId="0" borderId="0" xfId="3" applyFont="1" applyBorder="1" applyAlignment="1">
      <alignment horizontal="center"/>
    </xf>
    <xf numFmtId="0" fontId="0" fillId="0" borderId="4" xfId="0" applyNumberFormat="1" applyFill="1" applyBorder="1" applyAlignment="1">
      <alignment vertical="top"/>
    </xf>
    <xf numFmtId="0" fontId="4" fillId="0" borderId="0" xfId="0" applyFont="1" applyFill="1" applyBorder="1"/>
    <xf numFmtId="0" fontId="3" fillId="0" borderId="0" xfId="0" applyFont="1" applyAlignment="1">
      <alignment vertical="center"/>
    </xf>
    <xf numFmtId="0" fontId="0" fillId="0" borderId="0" xfId="0" applyAlignment="1">
      <alignment horizontal="center" vertical="top" wrapText="1"/>
    </xf>
    <xf numFmtId="0" fontId="0" fillId="0" borderId="6" xfId="0" applyFill="1" applyBorder="1" applyAlignment="1">
      <alignment horizontal="center" vertical="top"/>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5" xfId="0" applyBorder="1" applyAlignment="1">
      <alignment horizontal="center" vertical="top"/>
    </xf>
    <xf numFmtId="0" fontId="10" fillId="0" borderId="6" xfId="0" applyFont="1" applyBorder="1" applyAlignment="1">
      <alignment horizontal="center" vertical="top"/>
    </xf>
    <xf numFmtId="0" fontId="0" fillId="0" borderId="9" xfId="0" applyBorder="1" applyAlignment="1">
      <alignment horizontal="center" vertical="top"/>
    </xf>
    <xf numFmtId="166" fontId="0" fillId="0" borderId="6" xfId="0" applyNumberFormat="1" applyFill="1" applyBorder="1" applyAlignment="1">
      <alignment horizontal="center" vertical="top"/>
    </xf>
    <xf numFmtId="166" fontId="0" fillId="0" borderId="6" xfId="0" applyNumberFormat="1" applyBorder="1" applyAlignment="1">
      <alignment horizontal="center" vertical="top"/>
    </xf>
    <xf numFmtId="166" fontId="0" fillId="0" borderId="5" xfId="0" applyNumberFormat="1" applyBorder="1" applyAlignment="1">
      <alignment horizontal="center" vertical="top"/>
    </xf>
    <xf numFmtId="166" fontId="0" fillId="0" borderId="9" xfId="0" applyNumberFormat="1" applyBorder="1" applyAlignment="1">
      <alignment horizontal="center" vertical="top"/>
    </xf>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0" fillId="9" borderId="0" xfId="0" applyFill="1"/>
    <xf numFmtId="0" fontId="3" fillId="9" borderId="0" xfId="0" applyFont="1" applyFill="1"/>
    <xf numFmtId="0" fontId="0" fillId="9" borderId="18" xfId="0" applyFill="1" applyBorder="1"/>
    <xf numFmtId="0" fontId="0" fillId="9" borderId="19" xfId="0" applyFill="1" applyBorder="1"/>
    <xf numFmtId="0" fontId="0" fillId="9" borderId="10" xfId="0" applyFill="1" applyBorder="1"/>
    <xf numFmtId="0" fontId="0" fillId="9" borderId="20" xfId="0" applyFill="1" applyBorder="1"/>
    <xf numFmtId="0" fontId="15" fillId="9" borderId="14" xfId="0" applyFont="1" applyFill="1" applyBorder="1" applyAlignment="1">
      <alignment vertical="center"/>
    </xf>
    <xf numFmtId="0" fontId="15" fillId="9" borderId="15" xfId="0" applyFont="1" applyFill="1" applyBorder="1" applyAlignment="1">
      <alignment vertical="center"/>
    </xf>
    <xf numFmtId="0" fontId="15" fillId="9" borderId="16" xfId="0" applyFont="1" applyFill="1" applyBorder="1" applyAlignment="1">
      <alignment vertical="center"/>
    </xf>
    <xf numFmtId="0" fontId="15" fillId="9" borderId="17" xfId="0" applyFont="1" applyFill="1" applyBorder="1" applyAlignment="1">
      <alignment vertical="center"/>
    </xf>
    <xf numFmtId="0" fontId="15" fillId="9" borderId="0" xfId="0" applyFont="1" applyFill="1" applyAlignment="1">
      <alignment vertical="center"/>
    </xf>
    <xf numFmtId="0" fontId="15" fillId="9" borderId="18" xfId="0" applyFont="1" applyFill="1" applyBorder="1" applyAlignment="1">
      <alignment vertical="center"/>
    </xf>
    <xf numFmtId="0" fontId="15" fillId="9" borderId="17" xfId="0" applyFont="1" applyFill="1" applyBorder="1" applyAlignment="1">
      <alignment horizontal="center" vertical="center"/>
    </xf>
    <xf numFmtId="0" fontId="15" fillId="9" borderId="18" xfId="0" applyFont="1" applyFill="1" applyBorder="1" applyAlignment="1">
      <alignment horizontal="center" vertical="center"/>
    </xf>
    <xf numFmtId="0" fontId="6" fillId="9" borderId="0" xfId="5" applyFill="1"/>
    <xf numFmtId="0" fontId="0" fillId="9" borderId="17" xfId="0" applyFill="1" applyBorder="1" applyAlignment="1">
      <alignment horizontal="right"/>
    </xf>
    <xf numFmtId="0" fontId="6" fillId="9" borderId="0" xfId="5" applyFill="1" applyBorder="1"/>
    <xf numFmtId="0" fontId="3" fillId="9" borderId="17" xfId="0" applyFont="1" applyFill="1" applyBorder="1" applyAlignment="1">
      <alignment horizontal="right"/>
    </xf>
    <xf numFmtId="0" fontId="16" fillId="0" borderId="0" xfId="0" applyFont="1"/>
    <xf numFmtId="1" fontId="16" fillId="0" borderId="0" xfId="0" applyNumberFormat="1" applyFont="1"/>
    <xf numFmtId="0" fontId="15" fillId="9" borderId="0" xfId="0" applyFont="1" applyFill="1" applyBorder="1" applyAlignment="1">
      <alignment horizontal="center" vertical="center"/>
    </xf>
    <xf numFmtId="0" fontId="15" fillId="9" borderId="19" xfId="0" applyFont="1" applyFill="1" applyBorder="1" applyAlignment="1">
      <alignment horizontal="center" vertical="center"/>
    </xf>
    <xf numFmtId="0" fontId="0" fillId="0" borderId="0" xfId="0" applyFill="1" applyBorder="1" applyAlignment="1">
      <alignment horizontal="right"/>
    </xf>
    <xf numFmtId="1" fontId="0" fillId="0" borderId="0" xfId="0" applyNumberFormat="1" applyFill="1" applyBorder="1"/>
    <xf numFmtId="0" fontId="3" fillId="9" borderId="0" xfId="0" applyFont="1" applyFill="1" applyBorder="1" applyAlignment="1">
      <alignment horizontal="center"/>
    </xf>
    <xf numFmtId="0" fontId="3" fillId="9" borderId="18" xfId="0" applyFont="1" applyFill="1" applyBorder="1" applyAlignment="1">
      <alignment horizontal="center"/>
    </xf>
    <xf numFmtId="0" fontId="0" fillId="9" borderId="0" xfId="0" applyFill="1" applyBorder="1" applyAlignment="1">
      <alignment horizontal="right"/>
    </xf>
    <xf numFmtId="0" fontId="0" fillId="9" borderId="18" xfId="0" applyFill="1" applyBorder="1" applyAlignment="1">
      <alignment horizontal="right"/>
    </xf>
    <xf numFmtId="0" fontId="0" fillId="9" borderId="10" xfId="0" applyFill="1" applyBorder="1" applyAlignment="1">
      <alignment horizontal="right"/>
    </xf>
    <xf numFmtId="1" fontId="0" fillId="9" borderId="10" xfId="0" applyNumberFormat="1" applyFill="1" applyBorder="1"/>
    <xf numFmtId="0" fontId="14" fillId="8" borderId="40" xfId="0" applyFont="1" applyFill="1" applyBorder="1" applyAlignment="1">
      <alignment vertical="top" wrapText="1"/>
    </xf>
    <xf numFmtId="0" fontId="0" fillId="2" borderId="41" xfId="0" applyFill="1" applyBorder="1"/>
    <xf numFmtId="0" fontId="0" fillId="2" borderId="39" xfId="0" applyFill="1" applyBorder="1"/>
    <xf numFmtId="0" fontId="0" fillId="2" borderId="39" xfId="0" applyFill="1" applyBorder="1" applyAlignment="1">
      <alignment horizontal="left"/>
    </xf>
    <xf numFmtId="1" fontId="0" fillId="2" borderId="39" xfId="6" applyNumberFormat="1" applyFont="1" applyFill="1" applyBorder="1" applyAlignment="1">
      <alignment horizontal="left"/>
    </xf>
    <xf numFmtId="0" fontId="0" fillId="2" borderId="37" xfId="0" applyFill="1" applyBorder="1" applyAlignment="1">
      <alignment horizontal="left"/>
    </xf>
    <xf numFmtId="0" fontId="13" fillId="2" borderId="0" xfId="0" applyFont="1" applyFill="1" applyBorder="1" applyAlignment="1">
      <alignment horizontal="center" vertical="center"/>
    </xf>
    <xf numFmtId="0" fontId="3" fillId="9" borderId="0" xfId="0" applyFont="1" applyFill="1" applyBorder="1"/>
    <xf numFmtId="0" fontId="13" fillId="6"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xf numFmtId="0" fontId="14" fillId="8" borderId="7" xfId="0" applyFont="1" applyFill="1" applyBorder="1" applyAlignment="1">
      <alignment vertical="top" wrapText="1"/>
    </xf>
    <xf numFmtId="0" fontId="10" fillId="0" borderId="6" xfId="0" applyFont="1" applyFill="1" applyBorder="1" applyAlignment="1">
      <alignment horizontal="left" vertical="center"/>
    </xf>
    <xf numFmtId="0" fontId="0" fillId="6" borderId="39" xfId="0" applyFill="1" applyBorder="1"/>
    <xf numFmtId="0" fontId="5" fillId="7" borderId="14" xfId="0" applyFont="1" applyFill="1" applyBorder="1" applyAlignment="1">
      <alignment horizontal="left" vertical="center"/>
    </xf>
    <xf numFmtId="0" fontId="5" fillId="7" borderId="51" xfId="0" applyFont="1" applyFill="1" applyBorder="1" applyAlignment="1">
      <alignment horizontal="left" vertical="center"/>
    </xf>
    <xf numFmtId="0" fontId="14" fillId="8" borderId="45" xfId="0" applyFont="1" applyFill="1" applyBorder="1" applyAlignment="1">
      <alignment vertical="top" wrapText="1"/>
    </xf>
    <xf numFmtId="0" fontId="10" fillId="0" borderId="39" xfId="0" applyFont="1" applyFill="1" applyBorder="1" applyAlignment="1">
      <alignment horizontal="left" vertical="center"/>
    </xf>
    <xf numFmtId="0" fontId="14" fillId="8" borderId="47" xfId="0" applyFont="1" applyFill="1" applyBorder="1" applyAlignment="1">
      <alignment vertical="top" wrapText="1"/>
    </xf>
    <xf numFmtId="0" fontId="10" fillId="0" borderId="37" xfId="0" applyFont="1" applyFill="1" applyBorder="1" applyAlignment="1">
      <alignment horizontal="left" vertical="center"/>
    </xf>
    <xf numFmtId="0" fontId="3" fillId="3" borderId="16" xfId="0" applyFont="1" applyFill="1" applyBorder="1" applyAlignment="1">
      <alignment horizontal="center" vertical="center"/>
    </xf>
    <xf numFmtId="0" fontId="5" fillId="3" borderId="49" xfId="0" applyFont="1" applyFill="1" applyBorder="1" applyAlignment="1">
      <alignment horizontal="center"/>
    </xf>
    <xf numFmtId="0" fontId="0" fillId="9" borderId="53" xfId="0" applyFill="1" applyBorder="1" applyAlignment="1">
      <alignment horizontal="right"/>
    </xf>
    <xf numFmtId="44" fontId="0" fillId="2" borderId="54" xfId="3" applyFont="1" applyFill="1" applyBorder="1" applyAlignment="1">
      <alignment horizontal="center"/>
    </xf>
    <xf numFmtId="0" fontId="14" fillId="8" borderId="48" xfId="0" applyFont="1" applyFill="1" applyBorder="1" applyAlignment="1">
      <alignment vertical="top" wrapText="1"/>
    </xf>
    <xf numFmtId="0" fontId="0" fillId="2" borderId="50" xfId="0" applyFill="1" applyBorder="1"/>
    <xf numFmtId="0" fontId="3" fillId="9" borderId="42" xfId="0" applyFont="1" applyFill="1" applyBorder="1"/>
    <xf numFmtId="0" fontId="13" fillId="9" borderId="0" xfId="0" applyFont="1" applyFill="1" applyBorder="1" applyAlignment="1">
      <alignment horizontal="center" vertical="center"/>
    </xf>
    <xf numFmtId="0" fontId="8" fillId="0" borderId="0" xfId="0" applyFont="1" applyFill="1" applyBorder="1"/>
    <xf numFmtId="44" fontId="0" fillId="0" borderId="0" xfId="3" applyFont="1" applyFill="1" applyBorder="1"/>
    <xf numFmtId="0" fontId="5" fillId="7" borderId="9" xfId="0" applyFont="1" applyFill="1" applyBorder="1" applyAlignment="1">
      <alignment horizontal="left" vertical="center"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right" vertical="top"/>
    </xf>
    <xf numFmtId="0" fontId="0" fillId="0" borderId="0" xfId="0" applyNumberFormat="1" applyFont="1" applyFill="1" applyBorder="1" applyAlignment="1">
      <alignment vertical="top"/>
    </xf>
    <xf numFmtId="0" fontId="0" fillId="0" borderId="0" xfId="0" applyFont="1" applyFill="1" applyBorder="1" applyAlignment="1">
      <alignment horizontal="right" vertical="top" wrapText="1"/>
    </xf>
    <xf numFmtId="0" fontId="10" fillId="0" borderId="0" xfId="0" applyFont="1" applyFill="1" applyBorder="1" applyAlignment="1">
      <alignment horizontal="right" vertical="top"/>
    </xf>
    <xf numFmtId="0" fontId="9" fillId="0" borderId="0" xfId="0" applyFont="1" applyFill="1" applyBorder="1"/>
    <xf numFmtId="0" fontId="10" fillId="0" borderId="0" xfId="0" applyFont="1" applyFill="1" applyBorder="1" applyAlignment="1">
      <alignment horizontal="left" vertical="center"/>
    </xf>
    <xf numFmtId="0" fontId="14" fillId="0" borderId="0" xfId="0" applyFont="1" applyFill="1" applyBorder="1" applyAlignment="1">
      <alignment vertical="top" wrapText="1"/>
    </xf>
    <xf numFmtId="0" fontId="5" fillId="7" borderId="0" xfId="0" applyFont="1" applyFill="1" applyBorder="1" applyAlignment="1">
      <alignment horizontal="left" vertical="center" wrapText="1"/>
    </xf>
    <xf numFmtId="1" fontId="10" fillId="0" borderId="0" xfId="0" applyNumberFormat="1" applyFont="1" applyFill="1" applyBorder="1" applyAlignment="1">
      <alignment horizontal="left" vertical="center"/>
    </xf>
    <xf numFmtId="0" fontId="0" fillId="9" borderId="6" xfId="0" applyFill="1" applyBorder="1"/>
    <xf numFmtId="0" fontId="14" fillId="10" borderId="6" xfId="0" applyFont="1" applyFill="1" applyBorder="1" applyAlignment="1">
      <alignment vertical="top" wrapText="1"/>
    </xf>
    <xf numFmtId="0" fontId="3" fillId="3" borderId="6" xfId="0" applyFont="1" applyFill="1" applyBorder="1"/>
    <xf numFmtId="0" fontId="3" fillId="9" borderId="18" xfId="0" applyFont="1" applyFill="1" applyBorder="1"/>
    <xf numFmtId="0" fontId="14" fillId="8" borderId="11" xfId="0" applyFont="1" applyFill="1" applyBorder="1" applyAlignment="1">
      <alignment vertical="top" wrapText="1"/>
    </xf>
    <xf numFmtId="0" fontId="0" fillId="2" borderId="49" xfId="0" applyFill="1" applyBorder="1" applyAlignment="1">
      <alignment horizontal="left"/>
    </xf>
    <xf numFmtId="0" fontId="3" fillId="9" borderId="38" xfId="0" applyFont="1" applyFill="1" applyBorder="1"/>
    <xf numFmtId="0" fontId="17" fillId="9" borderId="6" xfId="0" applyFont="1" applyFill="1" applyBorder="1"/>
    <xf numFmtId="167" fontId="0" fillId="0" borderId="6" xfId="0" applyNumberFormat="1" applyFill="1" applyBorder="1" applyAlignment="1">
      <alignment horizontal="center" vertical="top"/>
    </xf>
    <xf numFmtId="167" fontId="0" fillId="0" borderId="6" xfId="0" applyNumberFormat="1" applyBorder="1" applyAlignment="1">
      <alignment horizontal="center" vertical="top"/>
    </xf>
    <xf numFmtId="167" fontId="0" fillId="0" borderId="5" xfId="0" applyNumberFormat="1" applyBorder="1" applyAlignment="1">
      <alignment horizontal="center" vertical="top"/>
    </xf>
    <xf numFmtId="167" fontId="0" fillId="0" borderId="9" xfId="0" applyNumberFormat="1" applyBorder="1" applyAlignment="1">
      <alignment horizontal="center" vertical="top"/>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2" borderId="0" xfId="0" applyFont="1" applyFill="1" applyBorder="1" applyAlignment="1">
      <alignment vertical="top"/>
    </xf>
    <xf numFmtId="0" fontId="0" fillId="0" borderId="21" xfId="0" applyFill="1" applyBorder="1"/>
    <xf numFmtId="1" fontId="0" fillId="0" borderId="21" xfId="0" applyNumberFormat="1" applyFill="1" applyBorder="1"/>
    <xf numFmtId="1" fontId="0" fillId="0" borderId="22" xfId="0" applyNumberFormat="1" applyFill="1" applyBorder="1"/>
    <xf numFmtId="1" fontId="0" fillId="0" borderId="13" xfId="0" applyNumberFormat="1" applyFill="1" applyBorder="1"/>
    <xf numFmtId="1" fontId="0" fillId="0" borderId="23" xfId="0" applyNumberFormat="1" applyFill="1" applyBorder="1"/>
    <xf numFmtId="0" fontId="0" fillId="0" borderId="52" xfId="0" applyFill="1" applyBorder="1"/>
    <xf numFmtId="0" fontId="0" fillId="0" borderId="22" xfId="0" applyFill="1" applyBorder="1"/>
    <xf numFmtId="0" fontId="15" fillId="9" borderId="10" xfId="0" applyFont="1" applyFill="1" applyBorder="1" applyAlignment="1">
      <alignment horizontal="center" vertical="center"/>
    </xf>
    <xf numFmtId="0" fontId="15" fillId="9" borderId="20"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4" xfId="0" applyFont="1" applyFill="1" applyBorder="1" applyAlignment="1">
      <alignment horizontal="center" vertical="center"/>
    </xf>
    <xf numFmtId="0" fontId="15" fillId="9" borderId="15" xfId="0" applyFont="1" applyFill="1" applyBorder="1" applyAlignment="1">
      <alignment horizontal="center" vertical="center"/>
    </xf>
    <xf numFmtId="0" fontId="15" fillId="9" borderId="16" xfId="0" applyFont="1" applyFill="1" applyBorder="1" applyAlignment="1">
      <alignment horizontal="center" vertical="center"/>
    </xf>
    <xf numFmtId="0" fontId="14" fillId="8"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3" borderId="26" xfId="0" applyFont="1" applyFill="1" applyBorder="1" applyAlignment="1">
      <alignment horizontal="center"/>
    </xf>
    <xf numFmtId="0" fontId="3" fillId="3" borderId="25" xfId="0" applyFont="1" applyFill="1" applyBorder="1" applyAlignment="1">
      <alignment horizontal="center"/>
    </xf>
    <xf numFmtId="0" fontId="3" fillId="3" borderId="24" xfId="0" applyFont="1" applyFill="1" applyBorder="1" applyAlignment="1">
      <alignment horizontal="center"/>
    </xf>
    <xf numFmtId="1" fontId="12" fillId="5" borderId="28" xfId="0" applyNumberFormat="1" applyFont="1" applyFill="1" applyBorder="1" applyAlignment="1">
      <alignment horizontal="center"/>
    </xf>
    <xf numFmtId="1" fontId="12" fillId="5" borderId="4" xfId="0" applyNumberFormat="1" applyFont="1" applyFill="1" applyBorder="1" applyAlignment="1">
      <alignment horizontal="center"/>
    </xf>
    <xf numFmtId="1" fontId="12" fillId="5" borderId="0" xfId="0" applyNumberFormat="1" applyFont="1" applyFill="1" applyBorder="1" applyAlignment="1">
      <alignment horizontal="center"/>
    </xf>
    <xf numFmtId="1" fontId="12" fillId="5" borderId="29" xfId="0" applyNumberFormat="1" applyFont="1" applyFill="1" applyBorder="1" applyAlignment="1">
      <alignment horizont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3" fillId="3" borderId="30" xfId="0" applyFont="1" applyFill="1" applyBorder="1" applyAlignment="1">
      <alignment horizontal="center"/>
    </xf>
    <xf numFmtId="0" fontId="3" fillId="3" borderId="0" xfId="0" applyFont="1" applyFill="1" applyBorder="1" applyAlignment="1">
      <alignment horizontal="center"/>
    </xf>
    <xf numFmtId="0" fontId="5" fillId="7" borderId="26" xfId="0" applyFont="1" applyFill="1" applyBorder="1" applyAlignment="1">
      <alignment horizontal="left" vertical="center"/>
    </xf>
    <xf numFmtId="0" fontId="5" fillId="7" borderId="25" xfId="0" applyFont="1" applyFill="1" applyBorder="1" applyAlignment="1">
      <alignment horizontal="left" vertical="center"/>
    </xf>
    <xf numFmtId="0" fontId="5" fillId="7" borderId="24" xfId="0" applyFont="1" applyFill="1" applyBorder="1" applyAlignment="1">
      <alignment horizontal="left" vertical="center"/>
    </xf>
    <xf numFmtId="0" fontId="14" fillId="8" borderId="45" xfId="0" applyFont="1" applyFill="1" applyBorder="1" applyAlignment="1">
      <alignment horizontal="left" vertical="top" wrapText="1"/>
    </xf>
    <xf numFmtId="0" fontId="14" fillId="8" borderId="44" xfId="0" applyFont="1" applyFill="1" applyBorder="1" applyAlignment="1">
      <alignment horizontal="left" vertical="top" wrapText="1"/>
    </xf>
    <xf numFmtId="0" fontId="14" fillId="8" borderId="43" xfId="0" applyFont="1" applyFill="1" applyBorder="1" applyAlignment="1">
      <alignment horizontal="left" vertical="top" wrapText="1"/>
    </xf>
    <xf numFmtId="0" fontId="14" fillId="8" borderId="47"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46" xfId="0" applyFont="1" applyFill="1" applyBorder="1" applyAlignment="1">
      <alignment horizontal="left" vertical="top" wrapText="1"/>
    </xf>
    <xf numFmtId="0" fontId="14" fillId="0" borderId="0" xfId="0" applyFont="1" applyFill="1" applyBorder="1" applyAlignment="1">
      <alignment horizontal="left" vertical="top" wrapText="1"/>
    </xf>
    <xf numFmtId="0" fontId="0" fillId="2" borderId="0" xfId="0" applyFill="1"/>
    <xf numFmtId="1" fontId="0" fillId="0" borderId="0" xfId="0" applyNumberFormat="1"/>
    <xf numFmtId="0" fontId="3" fillId="0" borderId="12" xfId="0" applyFont="1" applyBorder="1" applyAlignment="1">
      <alignment horizontal="center"/>
    </xf>
    <xf numFmtId="166" fontId="12" fillId="5" borderId="0" xfId="0" applyNumberFormat="1" applyFont="1" applyFill="1" applyBorder="1" applyAlignment="1">
      <alignment horizontal="center"/>
    </xf>
    <xf numFmtId="166" fontId="12" fillId="5" borderId="29" xfId="0" applyNumberFormat="1" applyFont="1" applyFill="1" applyBorder="1" applyAlignment="1">
      <alignment horizontal="center"/>
    </xf>
    <xf numFmtId="0" fontId="5" fillId="3" borderId="13" xfId="0" applyFont="1" applyFill="1" applyBorder="1" applyAlignment="1">
      <alignment horizontal="center"/>
    </xf>
    <xf numFmtId="0" fontId="5" fillId="3" borderId="58" xfId="0" applyFont="1" applyFill="1" applyBorder="1" applyAlignment="1">
      <alignment horizontal="center"/>
    </xf>
    <xf numFmtId="0" fontId="5" fillId="3" borderId="55" xfId="0" applyFont="1" applyFill="1" applyBorder="1" applyAlignment="1">
      <alignment horizontal="center"/>
    </xf>
    <xf numFmtId="1" fontId="0" fillId="0" borderId="57" xfId="0" applyNumberFormat="1" applyBorder="1" applyAlignment="1">
      <alignment horizontal="center"/>
    </xf>
    <xf numFmtId="1" fontId="0" fillId="0" borderId="59" xfId="0" applyNumberFormat="1" applyBorder="1" applyAlignment="1">
      <alignment horizontal="center"/>
    </xf>
    <xf numFmtId="0" fontId="0" fillId="0" borderId="60" xfId="0" applyBorder="1" applyAlignment="1">
      <alignment horizontal="left"/>
    </xf>
    <xf numFmtId="0" fontId="0" fillId="0" borderId="60" xfId="0" applyBorder="1" applyAlignment="1">
      <alignment horizontal="center"/>
    </xf>
    <xf numFmtId="166" fontId="0" fillId="0" borderId="60" xfId="0" applyNumberFormat="1" applyBorder="1" applyAlignment="1">
      <alignment horizontal="center"/>
    </xf>
    <xf numFmtId="0" fontId="0" fillId="0" borderId="61" xfId="0" applyFill="1" applyBorder="1"/>
    <xf numFmtId="0" fontId="0" fillId="0" borderId="60" xfId="0" applyFill="1" applyBorder="1"/>
    <xf numFmtId="0" fontId="0" fillId="0" borderId="62" xfId="0" applyFill="1" applyBorder="1"/>
    <xf numFmtId="44" fontId="0" fillId="0" borderId="0" xfId="0" applyNumberFormat="1" applyBorder="1"/>
    <xf numFmtId="44" fontId="0" fillId="0" borderId="0" xfId="3" applyFont="1"/>
    <xf numFmtId="0" fontId="3" fillId="5" borderId="30" xfId="0" applyFont="1" applyFill="1" applyBorder="1"/>
    <xf numFmtId="0" fontId="3" fillId="5" borderId="0" xfId="0" applyFont="1" applyFill="1" applyBorder="1"/>
    <xf numFmtId="0" fontId="3" fillId="5" borderId="3" xfId="0" applyFont="1" applyFill="1" applyBorder="1"/>
    <xf numFmtId="0" fontId="3" fillId="5" borderId="28" xfId="0" applyFont="1" applyFill="1" applyBorder="1"/>
    <xf numFmtId="0" fontId="8" fillId="5" borderId="1" xfId="0" applyFont="1" applyFill="1" applyBorder="1" applyAlignment="1">
      <alignment horizontal="center"/>
    </xf>
    <xf numFmtId="0" fontId="8" fillId="5" borderId="13" xfId="0" applyFont="1" applyFill="1" applyBorder="1" applyAlignment="1">
      <alignment horizontal="center"/>
    </xf>
    <xf numFmtId="0" fontId="8" fillId="5" borderId="2" xfId="0" applyFont="1" applyFill="1" applyBorder="1" applyAlignment="1">
      <alignment horizontal="center"/>
    </xf>
    <xf numFmtId="0" fontId="0" fillId="0" borderId="0" xfId="0" applyAlignment="1">
      <alignment horizontal="right"/>
    </xf>
    <xf numFmtId="0" fontId="19" fillId="11" borderId="0" xfId="0" applyFont="1" applyFill="1" applyAlignment="1">
      <alignment horizontal="right"/>
    </xf>
    <xf numFmtId="0" fontId="0" fillId="6" borderId="0" xfId="0" applyFont="1" applyFill="1" applyBorder="1" applyAlignment="1">
      <alignment vertical="top"/>
    </xf>
    <xf numFmtId="0" fontId="0" fillId="6" borderId="0" xfId="0" applyFont="1" applyFill="1" applyBorder="1" applyAlignment="1">
      <alignment vertical="top" wrapText="1"/>
    </xf>
    <xf numFmtId="0" fontId="5" fillId="3" borderId="56" xfId="0" applyFont="1" applyFill="1" applyBorder="1" applyAlignment="1">
      <alignment vertical="center"/>
    </xf>
    <xf numFmtId="0" fontId="0" fillId="2" borderId="55" xfId="0" applyFill="1" applyBorder="1"/>
    <xf numFmtId="0" fontId="0" fillId="2" borderId="63" xfId="0" applyFill="1" applyBorder="1"/>
  </cellXfs>
  <cellStyles count="9">
    <cellStyle name="Comma" xfId="6" builtinId="3"/>
    <cellStyle name="Comma 2" xfId="8" xr:uid="{4FAEA6DF-922A-4F92-AA83-C3BD5C8B1825}"/>
    <cellStyle name="Currency" xfId="3" builtinId="4"/>
    <cellStyle name="Currency 2" xfId="7" xr:uid="{6F035DA5-FD88-4D84-AC72-2551FD1BBFF5}"/>
    <cellStyle name="Followed Hyperlink" xfId="1" builtinId="9" hidden="1"/>
    <cellStyle name="Followed Hyperlink" xfId="2" builtinId="9" hidden="1"/>
    <cellStyle name="Hyperlink" xfId="5" builtinId="8"/>
    <cellStyle name="Normal" xfId="0" builtinId="0"/>
    <cellStyle name="Normal 2" xfId="4" xr:uid="{00000000-0005-0000-0000-000005000000}"/>
  </cellStyles>
  <dxfs count="139">
    <dxf>
      <font>
        <b/>
        <i val="0"/>
        <strike val="0"/>
        <condense val="0"/>
        <extend val="0"/>
        <outline val="0"/>
        <shadow val="0"/>
        <u val="none"/>
        <vertAlign val="baseline"/>
        <sz val="11"/>
        <color theme="1"/>
        <name val="Calibri"/>
        <family val="2"/>
        <scheme val="minor"/>
      </font>
      <fill>
        <patternFill patternType="solid">
          <fgColor indexed="64"/>
          <bgColor rgb="FFFFFF00"/>
        </patternFill>
      </fill>
      <border diagonalUp="0" diagonalDown="0">
        <left style="medium">
          <color indexed="64"/>
        </left>
        <right style="medium">
          <color indexed="64"/>
        </right>
        <vertical/>
      </border>
    </dxf>
    <dxf>
      <fill>
        <patternFill patternType="solid">
          <fgColor indexed="64"/>
          <bgColor rgb="FFFFFF00"/>
        </patternFill>
      </fill>
      <alignment horizontal="left" vertical="bottom" textRotation="0" wrapText="0" indent="0" justifyLastLine="0" shrinkToFit="0" readingOrder="0"/>
      <border diagonalUp="0" diagonalDown="0" outline="0">
        <left style="thin">
          <color theme="8"/>
        </left>
        <right/>
        <top style="thin">
          <color theme="8"/>
        </top>
        <bottom style="thin">
          <color theme="8"/>
        </bottom>
      </border>
    </dxf>
    <dxf>
      <alignment horizontal="left" vertical="bottom" textRotation="0" wrapText="0" indent="0" justifyLastLine="0" shrinkToFit="0" readingOrder="0"/>
      <border diagonalUp="0" diagonalDown="0" outline="0">
        <left/>
        <right/>
        <top style="thin">
          <color theme="8"/>
        </top>
        <bottom/>
      </border>
    </dxf>
    <dxf>
      <fill>
        <patternFill>
          <bgColor rgb="FF92D050"/>
        </patternFill>
      </fill>
    </dxf>
    <dxf>
      <fill>
        <patternFill>
          <bgColor rgb="FFFFC000"/>
        </patternFill>
      </fill>
    </dxf>
    <dxf>
      <fill>
        <patternFill>
          <bgColor theme="9" tint="0.79998168889431442"/>
        </patternFill>
      </fill>
    </dxf>
    <dxf>
      <alignment horizontal="left" vertical="bottom" textRotation="0" wrapText="0" indent="0" justifyLastLine="0" shrinkToFit="0" readingOrder="0"/>
      <border diagonalUp="0" diagonalDown="0" outline="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style="medium">
          <color indexed="64"/>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fill>
        <patternFill patternType="none">
          <fgColor indexed="64"/>
          <bgColor auto="1"/>
        </patternFill>
      </fill>
      <border diagonalUp="0" diagonalDown="0">
        <left/>
        <right/>
        <top style="thin">
          <color theme="8"/>
        </top>
        <bottom/>
      </border>
    </dxf>
    <dxf>
      <numFmt numFmtId="1" formatCode="0"/>
      <alignment horizontal="center" vertical="bottom" textRotation="0" wrapText="0" indent="0" justifyLastLine="0" shrinkToFit="0" readingOrder="0"/>
      <border diagonalUp="0" diagonalDown="0">
        <left style="medium">
          <color indexed="64"/>
        </left>
        <right style="medium">
          <color indexed="64"/>
        </right>
        <top style="thin">
          <color theme="8"/>
        </top>
        <bottom/>
        <vertical/>
      </border>
    </dxf>
    <dxf>
      <numFmt numFmtId="166" formatCode="0.0"/>
      <alignment horizontal="center" vertical="bottom" textRotation="0" wrapText="0" indent="0" justifyLastLine="0" shrinkToFit="0" readingOrder="0"/>
      <border diagonalUp="0" diagonalDown="0">
        <left style="medium">
          <color indexed="64"/>
        </left>
        <right style="medium">
          <color indexed="64"/>
        </right>
        <top style="thin">
          <color theme="8"/>
        </top>
        <bottom/>
      </border>
    </dxf>
    <dxf>
      <numFmt numFmtId="0" formatCode="General"/>
      <alignment horizontal="left" vertical="bottom" textRotation="0" wrapText="0" indent="0" justifyLastLine="0" shrinkToFit="0" readingOrder="0"/>
      <border diagonalUp="0" diagonalDown="0">
        <left style="medium">
          <color indexed="64"/>
        </left>
        <right/>
        <top style="thin">
          <color theme="8"/>
        </top>
        <bottom/>
        <vertical/>
        <horizontal/>
      </border>
    </dxf>
    <dxf>
      <alignment horizontal="center" vertical="bottom" textRotation="0" wrapText="0" indent="0" justifyLastLine="0" shrinkToFit="0" readingOrder="0"/>
      <border diagonalUp="0" diagonalDown="0">
        <left style="medium">
          <color indexed="64"/>
        </left>
        <right/>
        <top style="thin">
          <color theme="8"/>
        </top>
        <bottom/>
        <vertical/>
        <horizontal/>
      </border>
    </dxf>
    <dxf>
      <numFmt numFmtId="34" formatCode="_(&quot;$&quot;* #,##0.00_);_(&quot;$&quot;* \(#,##0.00\);_(&quot;$&quot;* &quot;-&quot;??_);_(@_)"/>
      <alignment vertical="top" textRotation="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alignment vertical="top" textRotation="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000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6" formatCode="0.0"/>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vertical="top" textRotation="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vertical="top" textRotation="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alignment vertical="top" textRotation="0" justifyLastLine="0" shrinkToFit="0" readingOrder="0"/>
    </dxf>
    <dxf>
      <border>
        <bottom style="thin">
          <color rgb="FF000000"/>
        </bottom>
      </border>
    </dxf>
    <dxf>
      <font>
        <b/>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4" formatCode="_(&quot;$&quot;* #,##0.00_);_(&quot;$&quot;* \(#,##0.00\);_(&quot;$&quot;* &quot;-&quot;??_);_(@_)"/>
      <border diagonalUp="0" diagonalDown="0" outline="0">
        <left/>
        <right style="thin">
          <color theme="8"/>
        </right>
        <top/>
        <bottom/>
      </border>
    </dxf>
    <dxf>
      <numFmt numFmtId="34" formatCode="_(&quot;$&quot;* #,##0.00_);_(&quot;$&quot;* \(#,##0.00\);_(&quot;$&quot;* &quot;-&quot;??_);_(@_)"/>
      <border diagonalUp="0" diagonalDown="0">
        <left/>
        <right style="thin">
          <color theme="8"/>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top style="thin">
          <color theme="8"/>
        </top>
        <bottom/>
        <vertical/>
        <horizontal/>
      </border>
    </dxf>
    <dxf>
      <alignment horizontal="center" vertical="bottom" textRotation="0" wrapText="0" indent="0" justifyLastLine="0" shrinkToFit="0" readingOrder="0"/>
      <border diagonalUp="0" diagonalDown="0" outline="0">
        <left/>
        <right/>
        <top/>
        <bottom/>
      </border>
    </dxf>
    <dxf>
      <numFmt numFmtId="1" formatCode="0"/>
      <alignment horizontal="center" vertical="bottom" textRotation="0" wrapText="0" indent="0" justifyLastLine="0" shrinkToFit="0" readingOrder="0"/>
      <border diagonalUp="0" diagonalDown="0">
        <left/>
        <right/>
        <top style="thin">
          <color theme="8"/>
        </top>
        <bottom/>
        <vertical/>
        <horizontal/>
      </border>
    </dxf>
    <dxf>
      <alignment horizontal="center" vertical="bottom" textRotation="0" wrapText="0" indent="0" justifyLastLine="0" shrinkToFit="0" readingOrder="0"/>
      <border diagonalUp="0" diagonalDown="0" outline="0">
        <left/>
        <right/>
        <top/>
        <bottom/>
      </border>
    </dxf>
    <dxf>
      <numFmt numFmtId="1" formatCode="0"/>
      <alignment horizontal="center" vertical="bottom" textRotation="0" wrapText="0" indent="0" justifyLastLine="0" shrinkToFit="0" readingOrder="0"/>
      <border diagonalUp="0" diagonalDown="0">
        <left/>
        <right/>
        <top style="thin">
          <color theme="8"/>
        </top>
        <bottom/>
        <vertical/>
        <horizontal/>
      </border>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left/>
        <right/>
        <top style="thin">
          <color theme="8"/>
        </top>
        <bottom/>
        <vertical/>
        <horizontal/>
      </border>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left/>
        <right/>
        <top style="thin">
          <color theme="8"/>
        </top>
        <bottom/>
        <vertical/>
        <horizontal/>
      </border>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left/>
        <right/>
        <top style="thin">
          <color theme="8"/>
        </top>
        <bottom/>
        <vertical/>
        <horizontal/>
      </border>
    </dxf>
    <dxf>
      <alignment horizontal="left" vertical="bottom" textRotation="0" wrapText="0" indent="0" justifyLastLine="0" shrinkToFit="0" readingOrder="0"/>
      <border diagonalUp="0" diagonalDown="0" outline="0">
        <left/>
        <right/>
        <top/>
        <bottom/>
      </border>
    </dxf>
    <dxf>
      <alignment horizontal="left" vertical="bottom" textRotation="0" wrapText="0" indent="0" justifyLastLine="0" shrinkToFit="0" readingOrder="0"/>
      <border diagonalUp="0" diagonalDown="0">
        <left/>
        <right/>
        <top style="thin">
          <color theme="8"/>
        </top>
        <bottom/>
        <vertical/>
        <horizontal/>
      </border>
    </dxf>
    <dxf>
      <alignment horizontal="left" vertical="bottom" textRotation="0" wrapText="0" indent="0" justifyLastLine="0" shrinkToFit="0" readingOrder="0"/>
      <border diagonalUp="0" diagonalDown="0" outline="0">
        <left/>
        <right/>
        <top/>
        <bottom/>
      </border>
    </dxf>
    <dxf>
      <alignment horizontal="left" vertical="bottom" textRotation="0" wrapText="0" indent="0" justifyLastLine="0" shrinkToFit="0" readingOrder="0"/>
      <border diagonalUp="0" diagonalDown="0">
        <left/>
        <right/>
        <top style="thin">
          <color theme="8"/>
        </top>
        <bottom/>
        <vertical/>
        <horizontal/>
      </border>
    </dxf>
    <dxf>
      <alignment horizontal="left" vertical="bottom" textRotation="0" wrapText="0" indent="0" justifyLastLine="0" shrinkToFit="0" readingOrder="0"/>
      <border diagonalUp="0" diagonalDown="0" outline="0">
        <left/>
        <right/>
        <top/>
        <bottom/>
      </border>
    </dxf>
    <dxf>
      <fill>
        <patternFill patternType="solid">
          <fgColor indexed="64"/>
          <bgColor rgb="FFFFFF00"/>
        </patternFill>
      </fill>
      <alignment horizontal="left" vertical="bottom" textRotation="0" wrapText="0" indent="0" justifyLastLine="0" shrinkToFit="0" readingOrder="0"/>
      <border diagonalUp="0" diagonalDown="0" outline="0">
        <left style="thin">
          <color theme="8"/>
        </left>
        <right/>
        <top/>
        <bottom/>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8" tint="0.39997558519241921"/>
        </patternFill>
      </fill>
      <alignment horizontal="center" vertical="bottom" textRotation="0" wrapText="0" indent="0" justifyLastLine="0" shrinkToFit="0" readingOrder="0"/>
    </dxf>
    <dxf>
      <border outline="0">
        <right style="medium">
          <color indexed="64"/>
        </right>
      </border>
    </dxf>
    <dxf>
      <fill>
        <patternFill patternType="solid">
          <fgColor indexed="64"/>
          <bgColor rgb="FFFFFF00"/>
        </patternFill>
      </fill>
    </dxf>
    <dxf>
      <font>
        <b/>
        <i val="0"/>
        <strike val="0"/>
        <condense val="0"/>
        <extend val="0"/>
        <outline val="0"/>
        <shadow val="0"/>
        <u val="none"/>
        <vertAlign val="baseline"/>
        <sz val="11"/>
        <color theme="0"/>
        <name val="Calibri"/>
        <family val="2"/>
        <scheme val="minor"/>
      </font>
      <fill>
        <patternFill patternType="solid">
          <fgColor indexed="64"/>
          <bgColor theme="8"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border outline="0">
        <left style="thin">
          <color indexed="64"/>
        </left>
        <top style="medium">
          <color rgb="FF000000"/>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left" vertical="center" textRotation="0" wrapText="1" indent="0" justifyLastLine="0" shrinkToFit="0" readingOrder="0"/>
    </dxf>
  </dxfs>
  <tableStyles count="0" defaultTableStyle="TableStyleMedium2" defaultPivotStyle="PivotStyleLight16"/>
  <colors>
    <mruColors>
      <color rgb="FFEAEEF3"/>
      <color rgb="FFDAF0F3"/>
      <color rgb="FFFF9933"/>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4</xdr:col>
      <xdr:colOff>116205</xdr:colOff>
      <xdr:row>5</xdr:row>
      <xdr:rowOff>3810</xdr:rowOff>
    </xdr:to>
    <xdr:pic>
      <xdr:nvPicPr>
        <xdr:cNvPr id="2" name="Picture 1">
          <a:extLst>
            <a:ext uri="{FF2B5EF4-FFF2-40B4-BE49-F238E27FC236}">
              <a16:creationId xmlns:a16="http://schemas.microsoft.com/office/drawing/2014/main" id="{76937669-1956-4BC9-AB66-735B035D2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09550"/>
          <a:ext cx="2478405" cy="756285"/>
        </a:xfrm>
        <a:prstGeom prst="rect">
          <a:avLst/>
        </a:prstGeom>
      </xdr:spPr>
    </xdr:pic>
    <xdr:clientData/>
  </xdr:twoCellAnchor>
  <xdr:twoCellAnchor>
    <xdr:from>
      <xdr:col>11</xdr:col>
      <xdr:colOff>504826</xdr:colOff>
      <xdr:row>32</xdr:row>
      <xdr:rowOff>9524</xdr:rowOff>
    </xdr:from>
    <xdr:to>
      <xdr:col>13</xdr:col>
      <xdr:colOff>371475</xdr:colOff>
      <xdr:row>34</xdr:row>
      <xdr:rowOff>114300</xdr:rowOff>
    </xdr:to>
    <xdr:sp macro="" textlink="">
      <xdr:nvSpPr>
        <xdr:cNvPr id="3" name="TextBox 2">
          <a:extLst>
            <a:ext uri="{FF2B5EF4-FFF2-40B4-BE49-F238E27FC236}">
              <a16:creationId xmlns:a16="http://schemas.microsoft.com/office/drawing/2014/main" id="{BC437ED4-5226-4DD7-9ACC-A985E0FDD815}"/>
            </a:ext>
          </a:extLst>
        </xdr:cNvPr>
        <xdr:cNvSpPr txBox="1"/>
      </xdr:nvSpPr>
      <xdr:spPr>
        <a:xfrm>
          <a:off x="10267951" y="6162674"/>
          <a:ext cx="1381124" cy="50482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Labour</a:t>
          </a:r>
          <a:r>
            <a:rPr lang="en-US" sz="1100" b="0" u="none" baseline="0"/>
            <a:t> rate includes wage burden</a:t>
          </a:r>
          <a:endParaRPr lang="en-US" sz="1100" b="0" u="none"/>
        </a:p>
      </xdr:txBody>
    </xdr:sp>
    <xdr:clientData/>
  </xdr:twoCellAnchor>
  <xdr:twoCellAnchor>
    <xdr:from>
      <xdr:col>11</xdr:col>
      <xdr:colOff>28575</xdr:colOff>
      <xdr:row>33</xdr:row>
      <xdr:rowOff>61912</xdr:rowOff>
    </xdr:from>
    <xdr:to>
      <xdr:col>11</xdr:col>
      <xdr:colOff>504826</xdr:colOff>
      <xdr:row>33</xdr:row>
      <xdr:rowOff>95250</xdr:rowOff>
    </xdr:to>
    <xdr:cxnSp macro="">
      <xdr:nvCxnSpPr>
        <xdr:cNvPr id="4" name="Straight Arrow Connector 3">
          <a:extLst>
            <a:ext uri="{FF2B5EF4-FFF2-40B4-BE49-F238E27FC236}">
              <a16:creationId xmlns:a16="http://schemas.microsoft.com/office/drawing/2014/main" id="{51BC63E9-8180-4754-ABFA-B83D8064C4E8}"/>
            </a:ext>
          </a:extLst>
        </xdr:cNvPr>
        <xdr:cNvCxnSpPr>
          <a:stCxn id="3" idx="1"/>
        </xdr:cNvCxnSpPr>
      </xdr:nvCxnSpPr>
      <xdr:spPr>
        <a:xfrm flipH="1">
          <a:off x="9791700" y="6415087"/>
          <a:ext cx="476251" cy="3333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171105</xdr:rowOff>
    </xdr:from>
    <xdr:to>
      <xdr:col>2</xdr:col>
      <xdr:colOff>1400607</xdr:colOff>
      <xdr:row>5</xdr:row>
      <xdr:rowOff>66674</xdr:rowOff>
    </xdr:to>
    <xdr:pic>
      <xdr:nvPicPr>
        <xdr:cNvPr id="2" name="Picture 1">
          <a:extLst>
            <a:ext uri="{FF2B5EF4-FFF2-40B4-BE49-F238E27FC236}">
              <a16:creationId xmlns:a16="http://schemas.microsoft.com/office/drawing/2014/main" id="{DC5BAF3A-2534-47EF-8535-DAAA604DD6E0}"/>
            </a:ext>
          </a:extLst>
        </xdr:cNvPr>
        <xdr:cNvPicPr>
          <a:picLocks noChangeAspect="1"/>
        </xdr:cNvPicPr>
      </xdr:nvPicPr>
      <xdr:blipFill>
        <a:blip xmlns:r="http://schemas.openxmlformats.org/officeDocument/2006/relationships" r:embed="rId1"/>
        <a:srcRect/>
        <a:stretch/>
      </xdr:blipFill>
      <xdr:spPr>
        <a:xfrm>
          <a:off x="47625" y="171105"/>
          <a:ext cx="2838882" cy="848069"/>
        </a:xfrm>
        <a:prstGeom prst="rect">
          <a:avLst/>
        </a:prstGeom>
      </xdr:spPr>
    </xdr:pic>
    <xdr:clientData/>
  </xdr:twoCellAnchor>
  <xdr:twoCellAnchor>
    <xdr:from>
      <xdr:col>10</xdr:col>
      <xdr:colOff>9524</xdr:colOff>
      <xdr:row>4</xdr:row>
      <xdr:rowOff>9524</xdr:rowOff>
    </xdr:from>
    <xdr:to>
      <xdr:col>14</xdr:col>
      <xdr:colOff>2298700</xdr:colOff>
      <xdr:row>13</xdr:row>
      <xdr:rowOff>76199</xdr:rowOff>
    </xdr:to>
    <xdr:sp macro="" textlink="">
      <xdr:nvSpPr>
        <xdr:cNvPr id="4" name="TextBox 3">
          <a:extLst>
            <a:ext uri="{FF2B5EF4-FFF2-40B4-BE49-F238E27FC236}">
              <a16:creationId xmlns:a16="http://schemas.microsoft.com/office/drawing/2014/main" id="{3A0604DE-26CC-410F-B193-84F5BE8A0D1F}"/>
            </a:ext>
          </a:extLst>
        </xdr:cNvPr>
        <xdr:cNvSpPr txBox="1"/>
      </xdr:nvSpPr>
      <xdr:spPr>
        <a:xfrm>
          <a:off x="14081124" y="771524"/>
          <a:ext cx="7559676" cy="18446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Instructions:</a:t>
          </a:r>
        </a:p>
        <a:p>
          <a:r>
            <a:rPr lang="en-US" sz="1100" i="1" baseline="0"/>
            <a:t>1. Enter known quantities of building components in the </a:t>
          </a:r>
          <a:r>
            <a:rPr lang="en-US" sz="1100" b="1" i="1" baseline="0"/>
            <a:t>QUANTITY </a:t>
          </a:r>
          <a:r>
            <a:rPr lang="en-US" sz="1100" i="1" baseline="0"/>
            <a:t>column.  Ensure quanties are entered in correct metric units as shown.  (ie. areas are in m2, not ft2).  See Inventory Notes column for specific instructions for each inventory item. </a:t>
          </a:r>
        </a:p>
        <a:p>
          <a:endParaRPr lang="en-US" sz="1100" i="1" baseline="0"/>
        </a:p>
        <a:p>
          <a:r>
            <a:rPr lang="en-US" sz="1100" i="1" baseline="0"/>
            <a:t>2. Consider entering location description, year installed, and condition.  See guidebook section 1.1.5 for Condition Assessment Scale.</a:t>
          </a:r>
        </a:p>
        <a:p>
          <a:endParaRPr lang="en-US" sz="1100" i="1" baseline="0"/>
        </a:p>
        <a:p>
          <a:r>
            <a:rPr lang="en-US" sz="1100" i="1" baseline="0"/>
            <a:t>3. Proceed to tab "2. WORK ORDERS" </a:t>
          </a:r>
        </a:p>
        <a:p>
          <a:endParaRPr lang="en-US" sz="1100" i="1" baseline="0"/>
        </a:p>
        <a:p>
          <a:r>
            <a:rPr lang="en-US" sz="1100" b="1" i="1" baseline="0">
              <a:solidFill>
                <a:srgbClr val="FF0000"/>
              </a:solidFill>
            </a:rPr>
            <a:t>4. See Volume II, section 1.2 for instructions on how to add a new component within a category.  </a:t>
          </a:r>
        </a:p>
      </xdr:txBody>
    </xdr:sp>
    <xdr:clientData/>
  </xdr:twoCellAnchor>
  <xdr:twoCellAnchor editAs="absolute">
    <xdr:from>
      <xdr:col>3</xdr:col>
      <xdr:colOff>523875</xdr:colOff>
      <xdr:row>0</xdr:row>
      <xdr:rowOff>161925</xdr:rowOff>
    </xdr:from>
    <xdr:to>
      <xdr:col>4</xdr:col>
      <xdr:colOff>771525</xdr:colOff>
      <xdr:row>13</xdr:row>
      <xdr:rowOff>152400</xdr:rowOff>
    </xdr:to>
    <mc:AlternateContent xmlns:mc="http://schemas.openxmlformats.org/markup-compatibility/2006" xmlns:sle15="http://schemas.microsoft.com/office/drawing/2012/slicer">
      <mc:Choice Requires="sle15">
        <xdr:graphicFrame macro="">
          <xdr:nvGraphicFramePr>
            <xdr:cNvPr id="3" name="CATEGORY 2">
              <a:extLst>
                <a:ext uri="{FF2B5EF4-FFF2-40B4-BE49-F238E27FC236}">
                  <a16:creationId xmlns:a16="http://schemas.microsoft.com/office/drawing/2014/main" id="{70A0208A-CA1A-4BA8-8CEB-8C3A6D1190A4}"/>
                </a:ext>
              </a:extLst>
            </xdr:cNvPr>
            <xdr:cNvGraphicFramePr/>
          </xdr:nvGraphicFramePr>
          <xdr:xfrm>
            <a:off x="0" y="0"/>
            <a:ext cx="0" cy="0"/>
          </xdr:xfrm>
          <a:graphic>
            <a:graphicData uri="http://schemas.microsoft.com/office/drawing/2010/slicer">
              <sle:slicer xmlns:sle="http://schemas.microsoft.com/office/drawing/2010/slicer" name="CATEGORY 2"/>
            </a:graphicData>
          </a:graphic>
        </xdr:graphicFrame>
      </mc:Choice>
      <mc:Fallback xmlns="">
        <xdr:sp macro="" textlink="">
          <xdr:nvSpPr>
            <xdr:cNvPr id="0" name=""/>
            <xdr:cNvSpPr>
              <a:spLocks noTextEdit="1"/>
            </xdr:cNvSpPr>
          </xdr:nvSpPr>
          <xdr:spPr>
            <a:xfrm>
              <a:off x="4619625" y="1619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1098550</xdr:colOff>
      <xdr:row>5</xdr:row>
      <xdr:rowOff>200024</xdr:rowOff>
    </xdr:from>
    <xdr:to>
      <xdr:col>4</xdr:col>
      <xdr:colOff>2743200</xdr:colOff>
      <xdr:row>9</xdr:row>
      <xdr:rowOff>19050</xdr:rowOff>
    </xdr:to>
    <xdr:sp macro="" textlink="">
      <xdr:nvSpPr>
        <xdr:cNvPr id="5" name="TextBox 4">
          <a:extLst>
            <a:ext uri="{FF2B5EF4-FFF2-40B4-BE49-F238E27FC236}">
              <a16:creationId xmlns:a16="http://schemas.microsoft.com/office/drawing/2014/main" id="{8DB16FFE-E454-4947-90FD-5142E60C641E}"/>
            </a:ext>
          </a:extLst>
        </xdr:cNvPr>
        <xdr:cNvSpPr txBox="1"/>
      </xdr:nvSpPr>
      <xdr:spPr>
        <a:xfrm>
          <a:off x="6788150" y="1152524"/>
          <a:ext cx="1644650" cy="61912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Select</a:t>
          </a:r>
          <a:r>
            <a:rPr lang="en-US" sz="1100" b="0" u="none" baseline="0"/>
            <a:t> slicer categories to filter table to individual building categories.</a:t>
          </a:r>
          <a:endParaRPr lang="en-US" sz="1100" b="0" u="none"/>
        </a:p>
      </xdr:txBody>
    </xdr:sp>
    <xdr:clientData/>
  </xdr:twoCellAnchor>
  <xdr:twoCellAnchor>
    <xdr:from>
      <xdr:col>4</xdr:col>
      <xdr:colOff>622300</xdr:colOff>
      <xdr:row>1</xdr:row>
      <xdr:rowOff>114300</xdr:rowOff>
    </xdr:from>
    <xdr:to>
      <xdr:col>4</xdr:col>
      <xdr:colOff>1089025</xdr:colOff>
      <xdr:row>3</xdr:row>
      <xdr:rowOff>71437</xdr:rowOff>
    </xdr:to>
    <xdr:cxnSp macro="">
      <xdr:nvCxnSpPr>
        <xdr:cNvPr id="6" name="Straight Arrow Connector 5">
          <a:extLst>
            <a:ext uri="{FF2B5EF4-FFF2-40B4-BE49-F238E27FC236}">
              <a16:creationId xmlns:a16="http://schemas.microsoft.com/office/drawing/2014/main" id="{E508C93E-3BFC-4A24-A9EA-6C36F2C203BA}"/>
            </a:ext>
          </a:extLst>
        </xdr:cNvPr>
        <xdr:cNvCxnSpPr>
          <a:stCxn id="7" idx="1"/>
        </xdr:cNvCxnSpPr>
      </xdr:nvCxnSpPr>
      <xdr:spPr>
        <a:xfrm flipH="1" flipV="1">
          <a:off x="6311900" y="304800"/>
          <a:ext cx="466725" cy="33813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1089025</xdr:colOff>
      <xdr:row>2</xdr:row>
      <xdr:rowOff>19049</xdr:rowOff>
    </xdr:from>
    <xdr:to>
      <xdr:col>4</xdr:col>
      <xdr:colOff>2600325</xdr:colOff>
      <xdr:row>4</xdr:row>
      <xdr:rowOff>123825</xdr:rowOff>
    </xdr:to>
    <xdr:sp macro="" textlink="">
      <xdr:nvSpPr>
        <xdr:cNvPr id="7" name="TextBox 6">
          <a:extLst>
            <a:ext uri="{FF2B5EF4-FFF2-40B4-BE49-F238E27FC236}">
              <a16:creationId xmlns:a16="http://schemas.microsoft.com/office/drawing/2014/main" id="{BC006D10-D887-464E-A79F-712A65F53C16}"/>
            </a:ext>
          </a:extLst>
        </xdr:cNvPr>
        <xdr:cNvSpPr txBox="1"/>
      </xdr:nvSpPr>
      <xdr:spPr>
        <a:xfrm>
          <a:off x="6778625" y="400049"/>
          <a:ext cx="1511300" cy="48577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Click</a:t>
          </a:r>
          <a:r>
            <a:rPr lang="en-US" sz="1100" b="0" u="none" baseline="0"/>
            <a:t> Filter icon to clear category filters.</a:t>
          </a:r>
          <a:endParaRPr lang="en-US" sz="1100" b="0" u="none"/>
        </a:p>
      </xdr:txBody>
    </xdr:sp>
    <xdr:clientData/>
  </xdr:twoCellAnchor>
  <xdr:twoCellAnchor>
    <xdr:from>
      <xdr:col>4</xdr:col>
      <xdr:colOff>374650</xdr:colOff>
      <xdr:row>3</xdr:row>
      <xdr:rowOff>85725</xdr:rowOff>
    </xdr:from>
    <xdr:to>
      <xdr:col>4</xdr:col>
      <xdr:colOff>1079500</xdr:colOff>
      <xdr:row>6</xdr:row>
      <xdr:rowOff>176212</xdr:rowOff>
    </xdr:to>
    <xdr:cxnSp macro="">
      <xdr:nvCxnSpPr>
        <xdr:cNvPr id="9" name="Straight Arrow Connector 8">
          <a:extLst>
            <a:ext uri="{FF2B5EF4-FFF2-40B4-BE49-F238E27FC236}">
              <a16:creationId xmlns:a16="http://schemas.microsoft.com/office/drawing/2014/main" id="{97BE6E9F-8E0A-4A49-8973-43CEAB8269B7}"/>
            </a:ext>
          </a:extLst>
        </xdr:cNvPr>
        <xdr:cNvCxnSpPr/>
      </xdr:nvCxnSpPr>
      <xdr:spPr>
        <a:xfrm flipH="1" flipV="1">
          <a:off x="6064250" y="657225"/>
          <a:ext cx="704850" cy="68738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336550</xdr:colOff>
      <xdr:row>5</xdr:row>
      <xdr:rowOff>190500</xdr:rowOff>
    </xdr:from>
    <xdr:to>
      <xdr:col>4</xdr:col>
      <xdr:colOff>1098550</xdr:colOff>
      <xdr:row>7</xdr:row>
      <xdr:rowOff>147637</xdr:rowOff>
    </xdr:to>
    <xdr:cxnSp macro="">
      <xdr:nvCxnSpPr>
        <xdr:cNvPr id="11" name="Straight Arrow Connector 10">
          <a:extLst>
            <a:ext uri="{FF2B5EF4-FFF2-40B4-BE49-F238E27FC236}">
              <a16:creationId xmlns:a16="http://schemas.microsoft.com/office/drawing/2014/main" id="{D20B793B-7778-427F-BE72-BEC5A83A2BE9}"/>
            </a:ext>
          </a:extLst>
        </xdr:cNvPr>
        <xdr:cNvCxnSpPr/>
      </xdr:nvCxnSpPr>
      <xdr:spPr>
        <a:xfrm flipH="1" flipV="1">
          <a:off x="6026150" y="1143000"/>
          <a:ext cx="762000" cy="36353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3355975</xdr:colOff>
      <xdr:row>0</xdr:row>
      <xdr:rowOff>180976</xdr:rowOff>
    </xdr:from>
    <xdr:to>
      <xdr:col>6</xdr:col>
      <xdr:colOff>739775</xdr:colOff>
      <xdr:row>7</xdr:row>
      <xdr:rowOff>1</xdr:rowOff>
    </xdr:to>
    <mc:AlternateContent xmlns:mc="http://schemas.openxmlformats.org/markup-compatibility/2006">
      <mc:Choice xmlns:sle15="http://schemas.microsoft.com/office/drawing/2012/slicer" Requires="sle15">
        <xdr:graphicFrame macro="">
          <xdr:nvGraphicFramePr>
            <xdr:cNvPr id="8" name="MAINTENANCE OR CAPITAL 1">
              <a:extLst>
                <a:ext uri="{FF2B5EF4-FFF2-40B4-BE49-F238E27FC236}">
                  <a16:creationId xmlns:a16="http://schemas.microsoft.com/office/drawing/2014/main" id="{2BA450F8-11B8-BBAD-001D-FC017B92315C}"/>
                </a:ext>
              </a:extLst>
            </xdr:cNvPr>
            <xdr:cNvGraphicFramePr/>
          </xdr:nvGraphicFramePr>
          <xdr:xfrm>
            <a:off x="0" y="0"/>
            <a:ext cx="0" cy="0"/>
          </xdr:xfrm>
          <a:graphic>
            <a:graphicData uri="http://schemas.microsoft.com/office/drawing/2010/slicer">
              <sle:slicer xmlns:sle="http://schemas.microsoft.com/office/drawing/2010/slicer" name="MAINTENANCE OR CAPITAL 1"/>
            </a:graphicData>
          </a:graphic>
        </xdr:graphicFrame>
      </mc:Choice>
      <mc:Fallback>
        <xdr:sp macro="" textlink="">
          <xdr:nvSpPr>
            <xdr:cNvPr id="0" name=""/>
            <xdr:cNvSpPr>
              <a:spLocks noTextEdit="1"/>
            </xdr:cNvSpPr>
          </xdr:nvSpPr>
          <xdr:spPr>
            <a:xfrm>
              <a:off x="9045575" y="180976"/>
              <a:ext cx="1828800" cy="11779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6</xdr:col>
      <xdr:colOff>901700</xdr:colOff>
      <xdr:row>6</xdr:row>
      <xdr:rowOff>152399</xdr:rowOff>
    </xdr:from>
    <xdr:to>
      <xdr:col>9</xdr:col>
      <xdr:colOff>711200</xdr:colOff>
      <xdr:row>11</xdr:row>
      <xdr:rowOff>12701</xdr:rowOff>
    </xdr:to>
    <xdr:sp macro="" textlink="">
      <xdr:nvSpPr>
        <xdr:cNvPr id="12" name="TextBox 11">
          <a:extLst>
            <a:ext uri="{FF2B5EF4-FFF2-40B4-BE49-F238E27FC236}">
              <a16:creationId xmlns:a16="http://schemas.microsoft.com/office/drawing/2014/main" id="{B894212B-39ED-425C-80CE-ABE9A7E08B0B}"/>
            </a:ext>
          </a:extLst>
        </xdr:cNvPr>
        <xdr:cNvSpPr txBox="1"/>
      </xdr:nvSpPr>
      <xdr:spPr>
        <a:xfrm>
          <a:off x="11036300" y="1320799"/>
          <a:ext cx="2895600" cy="825502"/>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This</a:t>
          </a:r>
          <a:r>
            <a:rPr lang="en-US" sz="1100" b="0" u="none" baseline="0"/>
            <a:t> MMP focuses on Maintenance tasks.  While some Capital tasks have been included in the database, they have been filtered out of this file for simplicity.  </a:t>
          </a:r>
          <a:endParaRPr lang="en-US" sz="1100" b="0" u="none"/>
        </a:p>
      </xdr:txBody>
    </xdr:sp>
    <xdr:clientData/>
  </xdr:twoCellAnchor>
  <xdr:twoCellAnchor>
    <xdr:from>
      <xdr:col>6</xdr:col>
      <xdr:colOff>177800</xdr:colOff>
      <xdr:row>4</xdr:row>
      <xdr:rowOff>63500</xdr:rowOff>
    </xdr:from>
    <xdr:to>
      <xdr:col>6</xdr:col>
      <xdr:colOff>882650</xdr:colOff>
      <xdr:row>7</xdr:row>
      <xdr:rowOff>153987</xdr:rowOff>
    </xdr:to>
    <xdr:cxnSp macro="">
      <xdr:nvCxnSpPr>
        <xdr:cNvPr id="13" name="Straight Arrow Connector 12">
          <a:extLst>
            <a:ext uri="{FF2B5EF4-FFF2-40B4-BE49-F238E27FC236}">
              <a16:creationId xmlns:a16="http://schemas.microsoft.com/office/drawing/2014/main" id="{7C1C09F6-8F96-48F6-A381-B0C715FB5406}"/>
            </a:ext>
          </a:extLst>
        </xdr:cNvPr>
        <xdr:cNvCxnSpPr/>
      </xdr:nvCxnSpPr>
      <xdr:spPr>
        <a:xfrm flipH="1" flipV="1">
          <a:off x="11442700" y="825500"/>
          <a:ext cx="704850" cy="68738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xdr:col>
      <xdr:colOff>1479161</xdr:colOff>
      <xdr:row>5</xdr:row>
      <xdr:rowOff>28267</xdr:rowOff>
    </xdr:to>
    <xdr:pic>
      <xdr:nvPicPr>
        <xdr:cNvPr id="2" name="Picture 1">
          <a:extLst>
            <a:ext uri="{FF2B5EF4-FFF2-40B4-BE49-F238E27FC236}">
              <a16:creationId xmlns:a16="http://schemas.microsoft.com/office/drawing/2014/main" id="{31AD6FA7-1313-4521-9F42-F163F08119CD}"/>
            </a:ext>
          </a:extLst>
        </xdr:cNvPr>
        <xdr:cNvPicPr>
          <a:picLocks noChangeAspect="1"/>
        </xdr:cNvPicPr>
      </xdr:nvPicPr>
      <xdr:blipFill>
        <a:blip xmlns:r="http://schemas.openxmlformats.org/officeDocument/2006/relationships" r:embed="rId1"/>
        <a:stretch>
          <a:fillRect/>
        </a:stretch>
      </xdr:blipFill>
      <xdr:spPr>
        <a:xfrm>
          <a:off x="180975" y="704850"/>
          <a:ext cx="2834886" cy="847417"/>
        </a:xfrm>
        <a:prstGeom prst="rect">
          <a:avLst/>
        </a:prstGeom>
      </xdr:spPr>
    </xdr:pic>
    <xdr:clientData/>
  </xdr:twoCellAnchor>
  <xdr:twoCellAnchor>
    <xdr:from>
      <xdr:col>2</xdr:col>
      <xdr:colOff>285751</xdr:colOff>
      <xdr:row>6</xdr:row>
      <xdr:rowOff>28574</xdr:rowOff>
    </xdr:from>
    <xdr:to>
      <xdr:col>2</xdr:col>
      <xdr:colOff>4876801</xdr:colOff>
      <xdr:row>12</xdr:row>
      <xdr:rowOff>25399</xdr:rowOff>
    </xdr:to>
    <xdr:sp macro="" textlink="">
      <xdr:nvSpPr>
        <xdr:cNvPr id="3" name="TextBox 2">
          <a:extLst>
            <a:ext uri="{FF2B5EF4-FFF2-40B4-BE49-F238E27FC236}">
              <a16:creationId xmlns:a16="http://schemas.microsoft.com/office/drawing/2014/main" id="{91381BA4-E59A-471E-8F75-F98B91E81B99}"/>
            </a:ext>
          </a:extLst>
        </xdr:cNvPr>
        <xdr:cNvSpPr txBox="1"/>
      </xdr:nvSpPr>
      <xdr:spPr>
        <a:xfrm>
          <a:off x="3714751" y="1171574"/>
          <a:ext cx="4591050" cy="115252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Instructions:</a:t>
          </a:r>
        </a:p>
        <a:p>
          <a:r>
            <a:rPr lang="en-US" sz="1100" i="1" baseline="0"/>
            <a:t>1. Right click the blue heading below, (or anywhere in the table) and select "Refresh" to update required work orders. </a:t>
          </a:r>
        </a:p>
        <a:p>
          <a:endParaRPr lang="en-US"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effectLst/>
              <a:latin typeface="+mn-lt"/>
              <a:ea typeface="+mn-ea"/>
              <a:cs typeface="+mn-cs"/>
            </a:rPr>
            <a:t>2. Copy "</a:t>
          </a:r>
          <a:r>
            <a:rPr lang="en-US" sz="1100" b="1" i="1" baseline="0">
              <a:solidFill>
                <a:schemeClr val="dk1"/>
              </a:solidFill>
              <a:effectLst/>
              <a:latin typeface="+mn-lt"/>
              <a:ea typeface="+mn-ea"/>
              <a:cs typeface="+mn-cs"/>
            </a:rPr>
            <a:t>WORK ORDER</a:t>
          </a:r>
          <a:r>
            <a:rPr lang="en-US" sz="1100" i="1" baseline="0">
              <a:solidFill>
                <a:schemeClr val="dk1"/>
              </a:solidFill>
              <a:effectLst/>
              <a:latin typeface="+mn-lt"/>
              <a:ea typeface="+mn-ea"/>
              <a:cs typeface="+mn-cs"/>
            </a:rPr>
            <a:t>" column list and paste work order codes into "</a:t>
          </a:r>
          <a:r>
            <a:rPr lang="en-US" sz="1100" b="1" i="1" baseline="0">
              <a:solidFill>
                <a:schemeClr val="dk1"/>
              </a:solidFill>
              <a:effectLst/>
              <a:latin typeface="+mn-lt"/>
              <a:ea typeface="+mn-ea"/>
              <a:cs typeface="+mn-cs"/>
            </a:rPr>
            <a:t>3. SCHEDULE</a:t>
          </a:r>
          <a:r>
            <a:rPr lang="en-US" sz="1100" i="1" baseline="0">
              <a:solidFill>
                <a:schemeClr val="dk1"/>
              </a:solidFill>
              <a:effectLst/>
              <a:latin typeface="+mn-lt"/>
              <a:ea typeface="+mn-ea"/>
              <a:cs typeface="+mn-cs"/>
            </a:rPr>
            <a:t>" and "</a:t>
          </a:r>
          <a:r>
            <a:rPr lang="en-US" sz="1100" b="1" i="1" baseline="0">
              <a:solidFill>
                <a:schemeClr val="dk1"/>
              </a:solidFill>
              <a:effectLst/>
              <a:latin typeface="+mn-lt"/>
              <a:ea typeface="+mn-ea"/>
              <a:cs typeface="+mn-cs"/>
            </a:rPr>
            <a:t>4. BUDGET</a:t>
          </a:r>
          <a:r>
            <a:rPr lang="en-US" sz="1100" i="1" baseline="0">
              <a:solidFill>
                <a:schemeClr val="dk1"/>
              </a:solidFill>
              <a:effectLst/>
              <a:latin typeface="+mn-lt"/>
              <a:ea typeface="+mn-ea"/>
              <a:cs typeface="+mn-cs"/>
            </a:rPr>
            <a:t>" tabs</a:t>
          </a:r>
          <a:endParaRPr lang="en-US">
            <a:effectLst/>
          </a:endParaRPr>
        </a:p>
        <a:p>
          <a:endParaRPr lang="en-US" sz="1100" i="1"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52</xdr:col>
      <xdr:colOff>311150</xdr:colOff>
      <xdr:row>6</xdr:row>
      <xdr:rowOff>190500</xdr:rowOff>
    </xdr:from>
    <xdr:ext cx="2076450" cy="630294"/>
    <xdr:pic>
      <xdr:nvPicPr>
        <xdr:cNvPr id="2" name="Picture 1">
          <a:extLst>
            <a:ext uri="{FF2B5EF4-FFF2-40B4-BE49-F238E27FC236}">
              <a16:creationId xmlns:a16="http://schemas.microsoft.com/office/drawing/2014/main" id="{F8F4E4D7-B068-4CAD-8CF0-1D2964309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30550" y="1346200"/>
          <a:ext cx="2076450" cy="630294"/>
        </a:xfrm>
        <a:prstGeom prst="rect">
          <a:avLst/>
        </a:prstGeom>
      </xdr:spPr>
    </xdr:pic>
    <xdr:clientData/>
  </xdr:oneCellAnchor>
  <xdr:twoCellAnchor>
    <xdr:from>
      <xdr:col>3</xdr:col>
      <xdr:colOff>257174</xdr:colOff>
      <xdr:row>6</xdr:row>
      <xdr:rowOff>142875</xdr:rowOff>
    </xdr:from>
    <xdr:to>
      <xdr:col>4</xdr:col>
      <xdr:colOff>571500</xdr:colOff>
      <xdr:row>11</xdr:row>
      <xdr:rowOff>88900</xdr:rowOff>
    </xdr:to>
    <xdr:sp macro="" textlink="">
      <xdr:nvSpPr>
        <xdr:cNvPr id="4" name="TextBox 3">
          <a:extLst>
            <a:ext uri="{FF2B5EF4-FFF2-40B4-BE49-F238E27FC236}">
              <a16:creationId xmlns:a16="http://schemas.microsoft.com/office/drawing/2014/main" id="{5CC2146A-C062-40C2-A34C-CD0B51A88F70}"/>
            </a:ext>
          </a:extLst>
        </xdr:cNvPr>
        <xdr:cNvSpPr txBox="1"/>
      </xdr:nvSpPr>
      <xdr:spPr>
        <a:xfrm>
          <a:off x="4575174" y="1298575"/>
          <a:ext cx="6054726" cy="93662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Instructions:</a:t>
          </a:r>
        </a:p>
        <a:p>
          <a:r>
            <a:rPr lang="en-US" sz="1100" i="1" baseline="0"/>
            <a:t>1. Paste required work order Task Code(s) in the "Task Code" column.  </a:t>
          </a:r>
        </a:p>
        <a:p>
          <a:r>
            <a:rPr lang="en-US" sz="1100" i="1" baseline="0"/>
            <a:t>2. Distribute "Crew Hours Per Year" through the Annual Calendar.  Use the "CHECK" column on the far right to ensure the appropriate number of hours have been distributed.  </a:t>
          </a:r>
        </a:p>
      </xdr:txBody>
    </xdr:sp>
    <xdr:clientData/>
  </xdr:twoCellAnchor>
  <xdr:twoCellAnchor>
    <xdr:from>
      <xdr:col>1</xdr:col>
      <xdr:colOff>0</xdr:colOff>
      <xdr:row>1</xdr:row>
      <xdr:rowOff>0</xdr:rowOff>
    </xdr:from>
    <xdr:to>
      <xdr:col>2</xdr:col>
      <xdr:colOff>165100</xdr:colOff>
      <xdr:row>7</xdr:row>
      <xdr:rowOff>25400</xdr:rowOff>
    </xdr:to>
    <xdr:sp macro="" textlink="">
      <xdr:nvSpPr>
        <xdr:cNvPr id="11" name="TextBox 10">
          <a:extLst>
            <a:ext uri="{FF2B5EF4-FFF2-40B4-BE49-F238E27FC236}">
              <a16:creationId xmlns:a16="http://schemas.microsoft.com/office/drawing/2014/main" id="{9CAA5E64-07F6-4A79-AD45-2A073D738AD8}"/>
            </a:ext>
          </a:extLst>
        </xdr:cNvPr>
        <xdr:cNvSpPr txBox="1"/>
      </xdr:nvSpPr>
      <xdr:spPr>
        <a:xfrm>
          <a:off x="304800" y="190500"/>
          <a:ext cx="1562100"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NATION LOGO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12</xdr:row>
      <xdr:rowOff>171449</xdr:rowOff>
    </xdr:from>
    <xdr:to>
      <xdr:col>4</xdr:col>
      <xdr:colOff>2305050</xdr:colOff>
      <xdr:row>18</xdr:row>
      <xdr:rowOff>133349</xdr:rowOff>
    </xdr:to>
    <xdr:sp macro="" textlink="">
      <xdr:nvSpPr>
        <xdr:cNvPr id="5" name="TextBox 4">
          <a:extLst>
            <a:ext uri="{FF2B5EF4-FFF2-40B4-BE49-F238E27FC236}">
              <a16:creationId xmlns:a16="http://schemas.microsoft.com/office/drawing/2014/main" id="{3B031E02-41CE-432C-84CA-6878A839A51A}"/>
            </a:ext>
          </a:extLst>
        </xdr:cNvPr>
        <xdr:cNvSpPr txBox="1"/>
      </xdr:nvSpPr>
      <xdr:spPr>
        <a:xfrm>
          <a:off x="619125" y="2552699"/>
          <a:ext cx="4629150" cy="121920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Instructions:</a:t>
          </a:r>
        </a:p>
        <a:p>
          <a:r>
            <a:rPr lang="en-US" sz="1100" i="1" baseline="0"/>
            <a:t>1. Paste required work order(s) in the "Task Code" column.  </a:t>
          </a:r>
        </a:p>
        <a:p>
          <a:r>
            <a:rPr lang="en-US" sz="1100" i="1" baseline="0"/>
            <a:t>2. Update Labour Rate as required.</a:t>
          </a:r>
        </a:p>
        <a:p>
          <a:r>
            <a:rPr lang="en-US" sz="1100" i="1" baseline="0"/>
            <a:t>3. All remaining columns will populate with information from the "WO Data Masterlist" tab.</a:t>
          </a:r>
        </a:p>
        <a:p>
          <a:r>
            <a:rPr lang="en-US" sz="1100" i="1" baseline="0"/>
            <a:t>4. Right click anywhere in summary table to "refresh" totals</a:t>
          </a:r>
        </a:p>
      </xdr:txBody>
    </xdr:sp>
    <xdr:clientData/>
  </xdr:twoCellAnchor>
  <xdr:oneCellAnchor>
    <xdr:from>
      <xdr:col>13</xdr:col>
      <xdr:colOff>546100</xdr:colOff>
      <xdr:row>16</xdr:row>
      <xdr:rowOff>110632</xdr:rowOff>
    </xdr:from>
    <xdr:ext cx="1894840" cy="575167"/>
    <xdr:pic>
      <xdr:nvPicPr>
        <xdr:cNvPr id="8" name="Picture 7">
          <a:extLst>
            <a:ext uri="{FF2B5EF4-FFF2-40B4-BE49-F238E27FC236}">
              <a16:creationId xmlns:a16="http://schemas.microsoft.com/office/drawing/2014/main" id="{F60A4E14-3C22-476A-8AC3-ECE44A717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1200" y="3196732"/>
          <a:ext cx="1894840" cy="575167"/>
        </a:xfrm>
        <a:prstGeom prst="rect">
          <a:avLst/>
        </a:prstGeom>
      </xdr:spPr>
    </xdr:pic>
    <xdr:clientData/>
  </xdr:oneCellAnchor>
  <xdr:twoCellAnchor>
    <xdr:from>
      <xdr:col>1</xdr:col>
      <xdr:colOff>0</xdr:colOff>
      <xdr:row>0</xdr:row>
      <xdr:rowOff>38100</xdr:rowOff>
    </xdr:from>
    <xdr:to>
      <xdr:col>3</xdr:col>
      <xdr:colOff>762000</xdr:colOff>
      <xdr:row>6</xdr:row>
      <xdr:rowOff>88900</xdr:rowOff>
    </xdr:to>
    <xdr:sp macro="" textlink="">
      <xdr:nvSpPr>
        <xdr:cNvPr id="9" name="TextBox 8">
          <a:extLst>
            <a:ext uri="{FF2B5EF4-FFF2-40B4-BE49-F238E27FC236}">
              <a16:creationId xmlns:a16="http://schemas.microsoft.com/office/drawing/2014/main" id="{86C2CBC2-544D-44BE-ABAF-A5158661B04C}"/>
            </a:ext>
          </a:extLst>
        </xdr:cNvPr>
        <xdr:cNvSpPr txBox="1"/>
      </xdr:nvSpPr>
      <xdr:spPr>
        <a:xfrm>
          <a:off x="266700" y="38100"/>
          <a:ext cx="1562100"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NATION LOGO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1</xdr:row>
      <xdr:rowOff>47280</xdr:rowOff>
    </xdr:from>
    <xdr:to>
      <xdr:col>2</xdr:col>
      <xdr:colOff>1381557</xdr:colOff>
      <xdr:row>5</xdr:row>
      <xdr:rowOff>133349</xdr:rowOff>
    </xdr:to>
    <xdr:pic>
      <xdr:nvPicPr>
        <xdr:cNvPr id="2" name="Picture 1">
          <a:extLst>
            <a:ext uri="{FF2B5EF4-FFF2-40B4-BE49-F238E27FC236}">
              <a16:creationId xmlns:a16="http://schemas.microsoft.com/office/drawing/2014/main" id="{C7732F77-0451-4F1B-A721-74F5F1D2F312}"/>
            </a:ext>
          </a:extLst>
        </xdr:cNvPr>
        <xdr:cNvPicPr>
          <a:picLocks noChangeAspect="1"/>
        </xdr:cNvPicPr>
      </xdr:nvPicPr>
      <xdr:blipFill>
        <a:blip xmlns:r="http://schemas.openxmlformats.org/officeDocument/2006/relationships" r:embed="rId1"/>
        <a:srcRect/>
        <a:stretch/>
      </xdr:blipFill>
      <xdr:spPr>
        <a:xfrm>
          <a:off x="219075" y="237780"/>
          <a:ext cx="2838882" cy="848069"/>
        </a:xfrm>
        <a:prstGeom prst="rect">
          <a:avLst/>
        </a:prstGeom>
      </xdr:spPr>
    </xdr:pic>
    <xdr:clientData/>
  </xdr:twoCellAnchor>
  <xdr:twoCellAnchor editAs="absolute">
    <xdr:from>
      <xdr:col>3</xdr:col>
      <xdr:colOff>733424</xdr:colOff>
      <xdr:row>0</xdr:row>
      <xdr:rowOff>28575</xdr:rowOff>
    </xdr:from>
    <xdr:to>
      <xdr:col>4</xdr:col>
      <xdr:colOff>1363979</xdr:colOff>
      <xdr:row>12</xdr:row>
      <xdr:rowOff>133350</xdr:rowOff>
    </xdr:to>
    <mc:AlternateContent xmlns:mc="http://schemas.openxmlformats.org/markup-compatibility/2006" xmlns:sle15="http://schemas.microsoft.com/office/drawing/2012/slicer">
      <mc:Choice Requires="sle15">
        <xdr:graphicFrame macro="">
          <xdr:nvGraphicFramePr>
            <xdr:cNvPr id="3" name="CATEGORY">
              <a:extLst>
                <a:ext uri="{FF2B5EF4-FFF2-40B4-BE49-F238E27FC236}">
                  <a16:creationId xmlns:a16="http://schemas.microsoft.com/office/drawing/2014/main" id="{FF73724C-B6BE-45B0-868C-7EC788EE5871}"/>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819524" y="28575"/>
              <a:ext cx="2011680" cy="26289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2000250</xdr:colOff>
      <xdr:row>0</xdr:row>
      <xdr:rowOff>19051</xdr:rowOff>
    </xdr:from>
    <xdr:to>
      <xdr:col>7</xdr:col>
      <xdr:colOff>76201</xdr:colOff>
      <xdr:row>12</xdr:row>
      <xdr:rowOff>114300</xdr:rowOff>
    </xdr:to>
    <mc:AlternateContent xmlns:mc="http://schemas.openxmlformats.org/markup-compatibility/2006" xmlns:sle15="http://schemas.microsoft.com/office/drawing/2012/slicer">
      <mc:Choice Requires="sle15">
        <xdr:graphicFrame macro="">
          <xdr:nvGraphicFramePr>
            <xdr:cNvPr id="5" name="MAINTENANCE OR CAPITAL">
              <a:extLst>
                <a:ext uri="{FF2B5EF4-FFF2-40B4-BE49-F238E27FC236}">
                  <a16:creationId xmlns:a16="http://schemas.microsoft.com/office/drawing/2014/main" id="{8891E0CB-3D15-4892-BFF6-B005848153C0}"/>
                </a:ext>
              </a:extLst>
            </xdr:cNvPr>
            <xdr:cNvGraphicFramePr/>
          </xdr:nvGraphicFramePr>
          <xdr:xfrm>
            <a:off x="0" y="0"/>
            <a:ext cx="0" cy="0"/>
          </xdr:xfrm>
          <a:graphic>
            <a:graphicData uri="http://schemas.microsoft.com/office/drawing/2010/slicer">
              <sle:slicer xmlns:sle="http://schemas.microsoft.com/office/drawing/2010/slicer" name="MAINTENANCE OR CAPITAL"/>
            </a:graphicData>
          </a:graphic>
        </xdr:graphicFrame>
      </mc:Choice>
      <mc:Fallback xmlns="">
        <xdr:sp macro="" textlink="">
          <xdr:nvSpPr>
            <xdr:cNvPr id="0" name=""/>
            <xdr:cNvSpPr>
              <a:spLocks noTextEdit="1"/>
            </xdr:cNvSpPr>
          </xdr:nvSpPr>
          <xdr:spPr>
            <a:xfrm>
              <a:off x="8048625" y="19051"/>
              <a:ext cx="2352676" cy="26193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5</xdr:col>
      <xdr:colOff>123825</xdr:colOff>
      <xdr:row>5</xdr:row>
      <xdr:rowOff>19049</xdr:rowOff>
    </xdr:from>
    <xdr:to>
      <xdr:col>5</xdr:col>
      <xdr:colOff>1762125</xdr:colOff>
      <xdr:row>8</xdr:row>
      <xdr:rowOff>47625</xdr:rowOff>
    </xdr:to>
    <xdr:sp macro="" textlink="">
      <xdr:nvSpPr>
        <xdr:cNvPr id="11" name="TextBox 10">
          <a:extLst>
            <a:ext uri="{FF2B5EF4-FFF2-40B4-BE49-F238E27FC236}">
              <a16:creationId xmlns:a16="http://schemas.microsoft.com/office/drawing/2014/main" id="{9912882D-CA79-4063-9CE2-B15A3553CB1C}"/>
            </a:ext>
          </a:extLst>
        </xdr:cNvPr>
        <xdr:cNvSpPr txBox="1"/>
      </xdr:nvSpPr>
      <xdr:spPr>
        <a:xfrm>
          <a:off x="6172200" y="971549"/>
          <a:ext cx="1638300" cy="61912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Select</a:t>
          </a:r>
          <a:r>
            <a:rPr lang="en-US" sz="1100" b="0" u="none" baseline="0"/>
            <a:t> slicer categories to filter table to individual building categories.</a:t>
          </a:r>
          <a:endParaRPr lang="en-US" sz="1100" b="0" u="none"/>
        </a:p>
      </xdr:txBody>
    </xdr:sp>
    <xdr:clientData/>
  </xdr:twoCellAnchor>
  <xdr:twoCellAnchor>
    <xdr:from>
      <xdr:col>4</xdr:col>
      <xdr:colOff>1228725</xdr:colOff>
      <xdr:row>0</xdr:row>
      <xdr:rowOff>123825</xdr:rowOff>
    </xdr:from>
    <xdr:to>
      <xdr:col>5</xdr:col>
      <xdr:colOff>114300</xdr:colOff>
      <xdr:row>2</xdr:row>
      <xdr:rowOff>80962</xdr:rowOff>
    </xdr:to>
    <xdr:cxnSp macro="">
      <xdr:nvCxnSpPr>
        <xdr:cNvPr id="12" name="Straight Arrow Connector 11">
          <a:extLst>
            <a:ext uri="{FF2B5EF4-FFF2-40B4-BE49-F238E27FC236}">
              <a16:creationId xmlns:a16="http://schemas.microsoft.com/office/drawing/2014/main" id="{2F71DDC0-3900-45FB-A44D-D637197989E9}"/>
            </a:ext>
          </a:extLst>
        </xdr:cNvPr>
        <xdr:cNvCxnSpPr>
          <a:stCxn id="13" idx="1"/>
        </xdr:cNvCxnSpPr>
      </xdr:nvCxnSpPr>
      <xdr:spPr>
        <a:xfrm flipH="1" flipV="1">
          <a:off x="5695950" y="123825"/>
          <a:ext cx="466725" cy="33813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xdr:row>
      <xdr:rowOff>28574</xdr:rowOff>
    </xdr:from>
    <xdr:to>
      <xdr:col>5</xdr:col>
      <xdr:colOff>1619250</xdr:colOff>
      <xdr:row>3</xdr:row>
      <xdr:rowOff>133350</xdr:rowOff>
    </xdr:to>
    <xdr:sp macro="" textlink="">
      <xdr:nvSpPr>
        <xdr:cNvPr id="13" name="TextBox 12">
          <a:extLst>
            <a:ext uri="{FF2B5EF4-FFF2-40B4-BE49-F238E27FC236}">
              <a16:creationId xmlns:a16="http://schemas.microsoft.com/office/drawing/2014/main" id="{552A764F-74B4-491D-9CA0-5832BD1E742A}"/>
            </a:ext>
          </a:extLst>
        </xdr:cNvPr>
        <xdr:cNvSpPr txBox="1"/>
      </xdr:nvSpPr>
      <xdr:spPr>
        <a:xfrm>
          <a:off x="6162675" y="219074"/>
          <a:ext cx="1504950" cy="48577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Click</a:t>
          </a:r>
          <a:r>
            <a:rPr lang="en-US" sz="1100" b="0" u="none" baseline="0"/>
            <a:t> Filter icon to clear category filters.</a:t>
          </a:r>
          <a:endParaRPr lang="en-US" sz="1100" b="0" u="none"/>
        </a:p>
      </xdr:txBody>
    </xdr:sp>
    <xdr:clientData/>
  </xdr:twoCellAnchor>
  <xdr:twoCellAnchor>
    <xdr:from>
      <xdr:col>4</xdr:col>
      <xdr:colOff>981075</xdr:colOff>
      <xdr:row>2</xdr:row>
      <xdr:rowOff>95250</xdr:rowOff>
    </xdr:from>
    <xdr:to>
      <xdr:col>5</xdr:col>
      <xdr:colOff>104775</xdr:colOff>
      <xdr:row>6</xdr:row>
      <xdr:rowOff>23812</xdr:rowOff>
    </xdr:to>
    <xdr:cxnSp macro="">
      <xdr:nvCxnSpPr>
        <xdr:cNvPr id="14" name="Straight Arrow Connector 13">
          <a:extLst>
            <a:ext uri="{FF2B5EF4-FFF2-40B4-BE49-F238E27FC236}">
              <a16:creationId xmlns:a16="http://schemas.microsoft.com/office/drawing/2014/main" id="{45FFC966-83D7-496A-9AB2-FD7E948B1C1D}"/>
            </a:ext>
          </a:extLst>
        </xdr:cNvPr>
        <xdr:cNvCxnSpPr/>
      </xdr:nvCxnSpPr>
      <xdr:spPr>
        <a:xfrm flipH="1" flipV="1">
          <a:off x="5448300" y="476250"/>
          <a:ext cx="704850" cy="690562"/>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942975</xdr:colOff>
      <xdr:row>5</xdr:row>
      <xdr:rowOff>9525</xdr:rowOff>
    </xdr:from>
    <xdr:to>
      <xdr:col>5</xdr:col>
      <xdr:colOff>123825</xdr:colOff>
      <xdr:row>6</xdr:row>
      <xdr:rowOff>185737</xdr:rowOff>
    </xdr:to>
    <xdr:cxnSp macro="">
      <xdr:nvCxnSpPr>
        <xdr:cNvPr id="15" name="Straight Arrow Connector 14">
          <a:extLst>
            <a:ext uri="{FF2B5EF4-FFF2-40B4-BE49-F238E27FC236}">
              <a16:creationId xmlns:a16="http://schemas.microsoft.com/office/drawing/2014/main" id="{9712F27F-3199-418F-BA67-7F662699C096}"/>
            </a:ext>
          </a:extLst>
        </xdr:cNvPr>
        <xdr:cNvCxnSpPr/>
      </xdr:nvCxnSpPr>
      <xdr:spPr>
        <a:xfrm flipH="1" flipV="1">
          <a:off x="5410200" y="962025"/>
          <a:ext cx="762000" cy="366712"/>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5</xdr:row>
      <xdr:rowOff>19048</xdr:rowOff>
    </xdr:from>
    <xdr:to>
      <xdr:col>9</xdr:col>
      <xdr:colOff>428625</xdr:colOff>
      <xdr:row>8</xdr:row>
      <xdr:rowOff>47625</xdr:rowOff>
    </xdr:to>
    <xdr:sp macro="" textlink="">
      <xdr:nvSpPr>
        <xdr:cNvPr id="16" name="TextBox 15">
          <a:extLst>
            <a:ext uri="{FF2B5EF4-FFF2-40B4-BE49-F238E27FC236}">
              <a16:creationId xmlns:a16="http://schemas.microsoft.com/office/drawing/2014/main" id="{2C6E8548-D388-416F-BDD9-44620B0CF29F}"/>
            </a:ext>
          </a:extLst>
        </xdr:cNvPr>
        <xdr:cNvSpPr txBox="1"/>
      </xdr:nvSpPr>
      <xdr:spPr>
        <a:xfrm>
          <a:off x="10725150" y="971548"/>
          <a:ext cx="1733550" cy="619127"/>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Select</a:t>
          </a:r>
          <a:r>
            <a:rPr lang="en-US" sz="1100" b="0" u="none" baseline="0"/>
            <a:t> slicer categories to flip table between Capital and Maintenance taks.</a:t>
          </a:r>
          <a:endParaRPr lang="en-US" sz="1100" b="0" u="none"/>
        </a:p>
      </xdr:txBody>
    </xdr:sp>
    <xdr:clientData/>
  </xdr:twoCellAnchor>
  <xdr:twoCellAnchor>
    <xdr:from>
      <xdr:col>6</xdr:col>
      <xdr:colOff>819150</xdr:colOff>
      <xdr:row>0</xdr:row>
      <xdr:rowOff>123825</xdr:rowOff>
    </xdr:from>
    <xdr:to>
      <xdr:col>7</xdr:col>
      <xdr:colOff>438149</xdr:colOff>
      <xdr:row>2</xdr:row>
      <xdr:rowOff>61912</xdr:rowOff>
    </xdr:to>
    <xdr:cxnSp macro="">
      <xdr:nvCxnSpPr>
        <xdr:cNvPr id="17" name="Straight Arrow Connector 16">
          <a:extLst>
            <a:ext uri="{FF2B5EF4-FFF2-40B4-BE49-F238E27FC236}">
              <a16:creationId xmlns:a16="http://schemas.microsoft.com/office/drawing/2014/main" id="{501BE427-F15F-45A2-B71C-465C45F7717A}"/>
            </a:ext>
          </a:extLst>
        </xdr:cNvPr>
        <xdr:cNvCxnSpPr>
          <a:stCxn id="18" idx="1"/>
        </xdr:cNvCxnSpPr>
      </xdr:nvCxnSpPr>
      <xdr:spPr>
        <a:xfrm flipH="1" flipV="1">
          <a:off x="10248900" y="123825"/>
          <a:ext cx="466724" cy="31908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438149</xdr:colOff>
      <xdr:row>1</xdr:row>
      <xdr:rowOff>28574</xdr:rowOff>
    </xdr:from>
    <xdr:to>
      <xdr:col>9</xdr:col>
      <xdr:colOff>428624</xdr:colOff>
      <xdr:row>3</xdr:row>
      <xdr:rowOff>95250</xdr:rowOff>
    </xdr:to>
    <xdr:sp macro="" textlink="">
      <xdr:nvSpPr>
        <xdr:cNvPr id="18" name="TextBox 17">
          <a:extLst>
            <a:ext uri="{FF2B5EF4-FFF2-40B4-BE49-F238E27FC236}">
              <a16:creationId xmlns:a16="http://schemas.microsoft.com/office/drawing/2014/main" id="{2C479975-CA0F-4BF7-9542-8C5D207D9399}"/>
            </a:ext>
          </a:extLst>
        </xdr:cNvPr>
        <xdr:cNvSpPr txBox="1"/>
      </xdr:nvSpPr>
      <xdr:spPr>
        <a:xfrm>
          <a:off x="10715624" y="219074"/>
          <a:ext cx="1743075" cy="447676"/>
        </a:xfrm>
        <a:prstGeom prst="rect">
          <a:avLst/>
        </a:prstGeom>
        <a:solidFill>
          <a:schemeClr val="accent2">
            <a:lumMod val="20000"/>
            <a:lumOff val="8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Click</a:t>
          </a:r>
          <a:r>
            <a:rPr lang="en-US" sz="1100" b="0" u="none" baseline="0"/>
            <a:t> Filter icon to clear Maintenance/Capital filter.</a:t>
          </a:r>
          <a:endParaRPr lang="en-US" sz="1100" b="0" u="none"/>
        </a:p>
      </xdr:txBody>
    </xdr:sp>
    <xdr:clientData/>
  </xdr:twoCellAnchor>
  <xdr:twoCellAnchor>
    <xdr:from>
      <xdr:col>6</xdr:col>
      <xdr:colOff>571500</xdr:colOff>
      <xdr:row>2</xdr:row>
      <xdr:rowOff>95250</xdr:rowOff>
    </xdr:from>
    <xdr:to>
      <xdr:col>7</xdr:col>
      <xdr:colOff>438150</xdr:colOff>
      <xdr:row>5</xdr:row>
      <xdr:rowOff>171450</xdr:rowOff>
    </xdr:to>
    <xdr:cxnSp macro="">
      <xdr:nvCxnSpPr>
        <xdr:cNvPr id="19" name="Straight Arrow Connector 18">
          <a:extLst>
            <a:ext uri="{FF2B5EF4-FFF2-40B4-BE49-F238E27FC236}">
              <a16:creationId xmlns:a16="http://schemas.microsoft.com/office/drawing/2014/main" id="{62264E25-8801-497B-8C3D-167E8187690B}"/>
            </a:ext>
          </a:extLst>
        </xdr:cNvPr>
        <xdr:cNvCxnSpPr/>
      </xdr:nvCxnSpPr>
      <xdr:spPr>
        <a:xfrm flipH="1" flipV="1">
          <a:off x="10001250" y="476250"/>
          <a:ext cx="714375" cy="6477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533400</xdr:colOff>
      <xdr:row>5</xdr:row>
      <xdr:rowOff>9525</xdr:rowOff>
    </xdr:from>
    <xdr:to>
      <xdr:col>7</xdr:col>
      <xdr:colOff>447675</xdr:colOff>
      <xdr:row>6</xdr:row>
      <xdr:rowOff>185737</xdr:rowOff>
    </xdr:to>
    <xdr:cxnSp macro="">
      <xdr:nvCxnSpPr>
        <xdr:cNvPr id="20" name="Straight Arrow Connector 19">
          <a:extLst>
            <a:ext uri="{FF2B5EF4-FFF2-40B4-BE49-F238E27FC236}">
              <a16:creationId xmlns:a16="http://schemas.microsoft.com/office/drawing/2014/main" id="{6B871277-3B08-44BC-9955-304BC41326D6}"/>
            </a:ext>
          </a:extLst>
        </xdr:cNvPr>
        <xdr:cNvCxnSpPr/>
      </xdr:nvCxnSpPr>
      <xdr:spPr>
        <a:xfrm flipH="1" flipV="1">
          <a:off x="9963150" y="962025"/>
          <a:ext cx="762000" cy="366712"/>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stry Glover" refreshedDate="44711.752166319442" createdVersion="7" refreshedVersion="8" minRefreshableVersion="3" recordCount="1" xr:uid="{4D4A56D2-65BA-48BD-A4BF-399CFEB26B24}">
  <cacheSource type="worksheet">
    <worksheetSource name="Table12"/>
  </cacheSource>
  <cacheFields count="14">
    <cacheField name="Task Code" numFmtId="0">
      <sharedItems containsNonDate="0" containsString="0" containsBlank="1"/>
    </cacheField>
    <cacheField name="Category" numFmtId="0">
      <sharedItems count="9">
        <e v="#N/A"/>
        <s v="1. SITE" u="1"/>
        <s v="3. EXTERIOR" u="1"/>
        <s v="5. MECHANICAL" u="1"/>
        <s v="2. STRUCTURAL" u="1"/>
        <s v="6. ELECTRICAL" u="1"/>
        <s v="4. INTERIOR" u="1"/>
        <s v="7. FIRE PROTECTION" u="1"/>
        <s v="8. ELEVATING DEVICES" u="1"/>
      </sharedItems>
    </cacheField>
    <cacheField name="Asset Component" numFmtId="0">
      <sharedItems/>
    </cacheField>
    <cacheField name="Task Description" numFmtId="0">
      <sharedItems/>
    </cacheField>
    <cacheField name="Frequency" numFmtId="0">
      <sharedItems/>
    </cacheField>
    <cacheField name="Frequency Data" numFmtId="0">
      <sharedItems/>
    </cacheField>
    <cacheField name="M / C" numFmtId="0">
      <sharedItems count="4">
        <s v=" "/>
        <s v="N/A" u="1"/>
        <s v="Capital" u="1"/>
        <s v="Maintenance" u="1"/>
      </sharedItems>
    </cacheField>
    <cacheField name="Operator" numFmtId="1">
      <sharedItems/>
    </cacheField>
    <cacheField name="Truck" numFmtId="1">
      <sharedItems containsNonDate="0" containsString="0" containsBlank="1"/>
    </cacheField>
    <cacheField name="Contractor" numFmtId="44">
      <sharedItems/>
    </cacheField>
    <cacheField name="Equipment" numFmtId="44">
      <sharedItems/>
    </cacheField>
    <cacheField name="Parts &amp; Materials" numFmtId="44">
      <sharedItems/>
    </cacheField>
    <cacheField name="Utilities" numFmtId="44">
      <sharedItems/>
    </cacheField>
    <cacheField name="Annual Budget" numFmtId="4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stry Glover" refreshedDate="44712.79541875" createdVersion="7" refreshedVersion="8" minRefreshableVersion="3" recordCount="307" xr:uid="{4A8FFA0E-FF11-4CC4-9B0C-C197E0BCFD7F}">
  <cacheSource type="worksheet">
    <worksheetSource name="Table139159"/>
  </cacheSource>
  <cacheFields count="21">
    <cacheField name="REQUIRED? _x000a_(Yes / No)" numFmtId="0">
      <sharedItems count="2">
        <s v="NO"/>
        <s v="YES" u="1"/>
      </sharedItems>
    </cacheField>
    <cacheField name="WORK ORDER" numFmtId="0">
      <sharedItems containsBlank="1" count="855">
        <s v="SITE 1.1.01"/>
        <s v="SITE 1.1.02"/>
        <s v="SITE 1.1.03"/>
        <s v="SITE 1.1.04"/>
        <s v="SITE 1.1.05"/>
        <s v="SITE 1.1.06"/>
        <s v="SITE 1.1.07"/>
        <s v="SITE 1.1.08"/>
        <s v="SITE 1.2.01"/>
        <s v="SITE 1.2.02"/>
        <s v="SITE 1.2.03"/>
        <s v="SITE 1.2.04"/>
        <s v="SITE 1.2.05"/>
        <s v="SITE 1.2.06"/>
        <s v="SITE 1.3.01"/>
        <s v="SITE 1.3.02"/>
        <s v="SITE 1.3.03"/>
        <s v="SITE 1.3.04"/>
        <s v="SITE 1.3.05"/>
        <s v="SITE 1.3.06"/>
        <s v="SITE 1.4.01"/>
        <s v="SITE 1.4.02"/>
        <s v="SITE 1.4.03"/>
        <s v="SITE 1.4.04"/>
        <s v="SITE 1.4.05"/>
        <s v="SITE 1.4.06"/>
        <s v="SITE 1.5.01"/>
        <s v="SITE 1.5.02"/>
        <s v="SITE 1.5.03"/>
        <s v="SITE 1.5.04"/>
        <s v="SITE 1.5.05"/>
        <s v="SITE 1.5.06"/>
        <s v="SITE 1.6.01"/>
        <s v="SITE 1.6.02"/>
        <s v="SITE 1.6.03"/>
        <s v="SITE 1.6.04"/>
        <s v="SITE 1.6.05"/>
        <s v="SITE 1.6.06"/>
        <s v="SITE 1.7.01"/>
        <s v="SITE 1.7.02"/>
        <s v="SITE 1.7.03"/>
        <s v="SITE 1.7.04"/>
        <s v="SITE 1.7.05"/>
        <s v="SITE 1.7.06"/>
        <s v="SITE 1.8.01"/>
        <s v="SITE 1.8.02"/>
        <s v="SITE 1.8.03"/>
        <s v="SITE 1.8.04"/>
        <s v="SITE 1.8.05"/>
        <s v="SITE 1.8.06"/>
        <s v="SITE 1.8.07"/>
        <s v="SITE 1.8.08"/>
        <s v="SITE 1.8.09"/>
        <s v="SITE 1.8.10"/>
        <s v="SITE 1.9.01"/>
        <s v="SITE 1.9.02"/>
        <s v="SITE 1.9.03"/>
        <s v="SITE 1.9.04"/>
        <s v="SITE 1.9.05"/>
        <s v="SITE 1.9.06"/>
        <s v="STRUCT 2.1.01"/>
        <s v="STRUCT 2.1.02"/>
        <s v="STRUCT 2.1.03"/>
        <s v="STRUCT 2.1.04"/>
        <s v="STRUCT 2.2.01"/>
        <s v="STRUCT 2.2.02"/>
        <s v="STRUCT 2.2.03"/>
        <s v="STRUCT 2.2.04"/>
        <s v="STRUCT 2.3.01"/>
        <s v="STRUCT 2.3.02"/>
        <s v="STRUCT 2.3.03"/>
        <s v="STRUCT 2.3.04"/>
        <s v="STRUCT 2.4.01"/>
        <s v="STRUCT 2.4.02"/>
        <s v="STRUCT 2.4.03"/>
        <s v="STRUCT 2.4.04"/>
        <s v="STRUCT 2.5.01"/>
        <s v="STRUCT 2.5.02"/>
        <s v="STRUCT 2.5.03"/>
        <s v="STRUCT 2.5.04"/>
        <s v="STRUCT 2.5.05"/>
        <s v="STRUCT 2.5.06"/>
        <s v="STRUCT 2.6.01"/>
        <s v="STRUCT 2.6.02"/>
        <s v="STRUCT 2.6.03"/>
        <s v="STRUCT 2.6.04"/>
        <s v="EXT 3.1.01"/>
        <s v="EXT 3.1.02"/>
        <s v="EXT 3.1.03"/>
        <s v="EXT 3.1.04"/>
        <s v="EXT 3.1.05"/>
        <s v="EXT 3.1.06"/>
        <s v="EXT 3.1.07"/>
        <s v="EXT 3.1.08"/>
        <s v="EXT 3.1.09"/>
        <s v="EXT 3.1.10"/>
        <s v="EXT 3.1.11"/>
        <s v="EXT 3.1.12"/>
        <s v="EXT 3.1.13"/>
        <s v="EXT 3.2.01"/>
        <s v="EXT 3.2.02"/>
        <s v="EXT 3.2.03"/>
        <s v="EXT 3.2.04"/>
        <s v="EXT 3.2.05"/>
        <s v="EXT 3.2.06"/>
        <s v="EXT 3.2.07"/>
        <s v="EXT 3.2.08"/>
        <s v="EXT 3.2.09"/>
        <s v="EXT 3.2.10"/>
        <s v="EXT 3.2.11"/>
        <s v="EXT 3.2.12"/>
        <s v="EXT 3.2.13"/>
        <s v="EXT 3.3.01"/>
        <s v="EXT 3.3.02"/>
        <s v="EXT 3.3.03"/>
        <s v="EXT 3.3.04"/>
        <s v="EXT 3.3.05"/>
        <s v="EXT 3.3.06"/>
        <s v="EXT 3.3.07"/>
        <s v="EXT 3.4.01"/>
        <s v="EXT 3.4.02"/>
        <s v="EXT 3.4.03"/>
        <s v="EXT 3.4.04"/>
        <s v="EXT 3.4.05"/>
        <s v="EXT 3.4.06"/>
        <s v="EXT 3.5.01"/>
        <s v="EXT 3.5.02"/>
        <s v="EXT 3.5.03"/>
        <s v="EXT 3.5.04"/>
        <s v="EXT 3.5.05"/>
        <s v="EXT 3.5.06"/>
        <s v="EXT 3.6.01"/>
        <s v="EXT 3.6.02"/>
        <s v="EXT 3.6.03"/>
        <s v="EXT 3.6.04"/>
        <s v="INT 4.1.01"/>
        <s v="INT 4.1.02"/>
        <s v="INT 4.1.03"/>
        <s v="INT 4.1.04"/>
        <s v="INT 4.1.05"/>
        <s v="INT 4.1.06"/>
        <s v="INT 4.2.01"/>
        <s v="INT 4.2.02"/>
        <s v="INT 4.2.03"/>
        <s v="INT 4.2.04"/>
        <s v="INT 4.2.05"/>
        <s v="INT 4.2.06"/>
        <s v="INT 4.3.01"/>
        <s v="INT 4.3.02"/>
        <s v="INT 4.3.03"/>
        <s v="INT 4.3.04"/>
        <s v="INT 4.3.05"/>
        <s v="INT 4.3.06"/>
        <s v="INT 4.4.01"/>
        <s v="INT 4.4.02"/>
        <s v="INT 4.4.03"/>
        <s v="INT 4.4.04"/>
        <s v="INT 4.4.05"/>
        <s v="INT 4.4.06"/>
        <s v="INT 4.5.01"/>
        <s v="INT 4.5.02"/>
        <s v="INT 4.5.03"/>
        <s v="INT 4.5.04"/>
        <s v="INT 4.5.05"/>
        <s v="INT 4.5.06"/>
        <s v="INT 4.6.01"/>
        <s v="INT 4.6.02"/>
        <s v="INT 4.6.03"/>
        <s v="INT 4.6.04"/>
        <s v="INT 4.6.05"/>
        <s v="INT 4.6.06"/>
        <s v="INT 4.7.01"/>
        <s v="INT 4.7.02"/>
        <s v="INT 4.7.03"/>
        <s v="INT 4.7.04"/>
        <s v="INT 4.7.05"/>
        <s v="INT 4.7.06"/>
        <s v="INT 4.8.01"/>
        <s v="INT 4.8.02"/>
        <s v="INT 4.8.03"/>
        <s v="INT 4.8.04"/>
        <s v="INT 4.8.05"/>
        <s v="INT 4.8.06"/>
        <s v="INT 4.9.01"/>
        <s v="INT 4.9.02"/>
        <s v="INT 4.9.03"/>
        <s v="INT 4.9.04"/>
        <s v="INT 4.9.05"/>
        <s v="INT 4.9.06"/>
        <s v="INT 4.10.01"/>
        <s v="INT 4.10.02"/>
        <s v="INT 4.10.03"/>
        <s v="INT 4.10.04"/>
        <s v="INT 4.10.05"/>
        <s v="INT 4.10.06"/>
        <s v="INT 4.10.07"/>
        <s v="INT 4.10.08"/>
        <s v="INT 4.10.09"/>
        <s v="INT 4.11.01"/>
        <s v="INT 4.11.02"/>
        <s v="INT 4.11.03"/>
        <s v="INT 4.11.04"/>
        <s v="INT 4.11.05"/>
        <s v="INT 4.11.06"/>
        <s v="INT 4.11.07"/>
        <s v="INT 4.11.08"/>
        <s v="INT 4.11.09"/>
        <s v="INT 4.11.10"/>
        <s v="INT 4.11.11"/>
        <s v="INT 4.11.12"/>
        <s v="INT 4.11.13"/>
        <s v="MECH 5.1.01"/>
        <s v="MECH 5.1.02"/>
        <s v="MECH 5.1.03"/>
        <s v="MECH 5.1.04"/>
        <s v="MECH 5.1.05"/>
        <s v="MECH 5.1.06"/>
        <s v="MECH 5.1.07"/>
        <s v="MECH 5.1.08"/>
        <s v="MECH 5.1.09"/>
        <s v="MECH 5.1.10"/>
        <s v="MECH 5.1.11"/>
        <s v="MECH 5.2.01"/>
        <s v="MECH 5.2.02"/>
        <s v="MECH 5.2.03"/>
        <s v="MECH 5.2.04"/>
        <s v="MECH 5.2.05"/>
        <s v="MECH 5.2.06"/>
        <s v="MECH 5.2.07"/>
        <s v="MECH 5.2.08"/>
        <s v="MECH 5.2.09"/>
        <s v="MECH 5.2.10"/>
        <s v="MECH 5.2.11"/>
        <s v="MECH 5.3.01"/>
        <s v="MECH 5.3.02"/>
        <s v="MECH 5.3.03"/>
        <s v="MECH 5.3.04"/>
        <s v="ELEC 6.1.01"/>
        <s v="ELEC 6.1.02"/>
        <s v="ELEC 6.1.03"/>
        <s v="ELEC 6.1.04"/>
        <s v="ELEC 6.1.05"/>
        <s v="ELEC 6.1.06"/>
        <s v="ELEC 6.1.07"/>
        <s v="ELEC 6.1.08"/>
        <s v="ELEC 6.2.01"/>
        <s v="ELEC 6.2.02"/>
        <s v="ELEC 6.2.03"/>
        <s v="ELEC 6.2.04"/>
        <s v="ELEC 6.2.05"/>
        <s v="ELEC 6.2.06"/>
        <s v="ELEC 6.2.07"/>
        <s v="ELEC 6.2.08"/>
        <s v="ELEC 6.2.09"/>
        <s v="ELEC 6.2.10"/>
        <s v="ELEC 6.2.11"/>
        <s v="ELEC 6.2.12"/>
        <s v="ELEC 6.2.13"/>
        <s v="ELEC 6.3.01"/>
        <s v="ELEC 6.3.02"/>
        <s v="ELEC 6.3.03"/>
        <s v="ELEC 6.3.04"/>
        <s v="ELEC 6.3.05"/>
        <s v="ELEC 6.3.06"/>
        <s v="ELEC 6.4.01"/>
        <s v="ELEC 6.4.02"/>
        <s v="ELEC 6.4.03"/>
        <s v="ELEC 6.4.04"/>
        <s v="ELEC 6.4.05"/>
        <s v="ELEC 6.4.06"/>
        <s v="ELEC 6.5.01"/>
        <s v="ELEC 6.5.02"/>
        <s v="ELEC 6.5.03"/>
        <s v="ELEC 6.5.04"/>
        <s v="ELEC 6.5.05"/>
        <s v="ELEC 6.5.06"/>
        <s v="ELEC 6.6.01"/>
        <s v="ELEC 6.6.02"/>
        <s v="ELEC 6.6.03"/>
        <s v="ELEC 6.6.04"/>
        <s v="FIRE 7.1.01"/>
        <s v="FIRE 7.1.02"/>
        <s v="FIRE 7.1.03"/>
        <s v="FIRE 7.1.04"/>
        <s v="FIRE 7.1.05"/>
        <s v="FIRE 7.1.06"/>
        <s v="FIRE 7.1.07"/>
        <s v="FIRE 7.1.08"/>
        <s v="FIRE 7.1.09"/>
        <s v="FIRE 7.1.10"/>
        <s v="FIRE 7.1.11"/>
        <s v="FIRE 7.1.12"/>
        <s v="FIRE 7.1.13"/>
        <s v="FIRE 7.2.01"/>
        <s v="FIRE 7.2.02"/>
        <s v="FIRE 7.2.03"/>
        <s v="FIRE 7.2.04"/>
        <s v="ELEV 8.1.01"/>
        <s v="ELEV 8.1.02"/>
        <s v="ELEV 8.1.03"/>
        <s v="ELEV 8.1.04"/>
        <s v="ELEV 8.1.05"/>
        <s v="ELEV 8.1.06"/>
        <s v="ELEV 8.2.01"/>
        <s v="ELEV 8.2.02"/>
        <s v="ELEV 8.2.03"/>
        <s v="ELEV 8.2.04"/>
        <m u="1"/>
        <s v="ELEC 6.5.3" u="1"/>
        <s v="FIRE 7.1.8" u="1"/>
        <s v="SITE 1.6.6" u="1"/>
        <s v=" FIRE 7.1.10" u="1"/>
        <s v="SITE 1.5.2" u="1"/>
        <s v=" INT 4.5.5" u="1"/>
        <s v=" INT 4.4.1" u="1"/>
        <s v="ELEC 6.5.2" u="1"/>
        <s v="FIRE 7.1.7" u="1"/>
        <s v="SITE 1.6.5" u="1"/>
        <s v="SITE 1.5.1" u="1"/>
        <s v=" INT 4.5.4" u="1"/>
        <s v="ELEC 6.5.1" u="1"/>
        <s v="FIRE 7.1.6" u="1"/>
        <s v="SITE 1.6.4" u="1"/>
        <s v=" INT 4.5.3" u="1"/>
        <s v="ELEC 6.6.4" u="1"/>
        <s v="FIRE 7.1.5" u="1"/>
        <s v="SITE 1.6.3" u="1"/>
        <s v=" INT 4.6.6" u="1"/>
        <s v=" INT 4.5.2" u="1"/>
        <s v="ELEC 6.6.3" u="1"/>
        <s v="SITE 1.7.6" u="1"/>
        <s v="FIRE 7.1.4" u="1"/>
        <s v="SITE 1.6.2" u="1"/>
        <s v=" INT 4.6.5" u="1"/>
        <s v=" INT 4.5.1" u="1"/>
        <s v="ELEC 6.6.2" u="1"/>
        <s v="SITE 1.8.9" u="1"/>
        <s v="SITE 1.7.5" u="1"/>
        <s v="FIRE 7.1.3" u="1"/>
        <s v="SITE 1.6.1" u="1"/>
        <s v="STRUCT 2.6.1" u="1"/>
        <s v=" INT 4.6.4" u="1"/>
        <s v="ELEC 6.6.1" u="1"/>
        <s v="SITE 1.8.8" u="1"/>
        <s v="SITE 1.7.4" u="1"/>
        <s v="FIRE 7.1.2" u="1"/>
        <s v="STRUCT 2.5.1" u="1"/>
        <s v=" INT 4.6.3" u="1"/>
        <s v="SITE 1.8.7" u="1"/>
        <s v="SITE 1.7.3" u="1"/>
        <s v="FIRE 7.1.1" u="1"/>
        <s v="STRUCT 2.4.1" u="1"/>
        <s v=" INT 4.7.6" u="1"/>
        <s v=" INT 4.6.2" u="1"/>
        <s v=" INT 4.10.1" u="1"/>
        <s v="SITE 1.8.6" u="1"/>
        <s v=" INT 4.10.2" u="1"/>
        <s v=" FIRE 7.1.11" u="1"/>
        <s v="FIRE 7.2.4" u="1"/>
        <s v="SITE 1.7.2" u="1"/>
        <s v=" INT 4.10.3" u="1"/>
        <s v="STRUCT 2.3.1" u="1"/>
        <s v=" INT 4.7.5" u="1"/>
        <s v=" INT 4.6.1" u="1"/>
        <s v=" INT 4.10.4" u="1"/>
        <s v=" INT 4.10.5" u="1"/>
        <s v="SITE 1.8.5" u="1"/>
        <s v=" INT 4.10.6" u="1"/>
        <s v="FIRE 7.2.3" u="1"/>
        <s v="SITE 1.7.1" u="1"/>
        <s v=" INT 4.10.7" u="1"/>
        <s v="STRUCT 2.2.1" u="1"/>
        <s v=" INT 4.7.4" u="1"/>
        <s v=" INT 4.10.8" u="1"/>
        <s v=" INT 4.10.9" u="1"/>
        <s v=" SITE 1.1.1" u="1"/>
        <s v="SITE 1.8.4" u="1"/>
        <s v=" SITE 1.1.2" u="1"/>
        <s v="FIRE 7.2.2" u="1"/>
        <s v=" SITE 1.1.3" u="1"/>
        <s v="STRUCT 2.1.1" u="1"/>
        <s v=" INT 4.7.3" u="1"/>
        <s v=" SITE 1.1.4" u="1"/>
        <s v=" SITE 1.1.5" u="1"/>
        <s v="SITE 1.8.3" u="1"/>
        <s v=" SITE 1.1.6" u="1"/>
        <s v="FIRE 7.2.1" u="1"/>
        <s v=" SITE 1.1.7" u="1"/>
        <s v=" INT 4.8.6" u="1"/>
        <s v=" INT 4.7.2" u="1"/>
        <s v=" SITE 1.1.8" u="1"/>
        <s v=" SITE 1.2.1" u="1"/>
        <s v="SITE 1.9.6" u="1"/>
        <s v=" SITE 1.2.2" u="1"/>
        <s v=" MECH 5.1.1" u="1"/>
        <s v="SITE 1.8.2" u="1"/>
        <s v=" SITE 1.2.3" u="1"/>
        <s v=" MECH 5.1.2" u="1"/>
        <s v=" INT 4.8.5" u="1"/>
        <s v=" INT 4.7.1" u="1"/>
        <s v=" SITE 1.2.4" u="1"/>
        <s v=" MECH 5.1.3" u="1"/>
        <s v=" SITE 1.2.5" u="1"/>
        <s v=" MECH 5.1.4" u="1"/>
        <s v="SITE 1.9.5" u="1"/>
        <s v=" SITE 1.2.6" u="1"/>
        <s v=" MECH 5.1.5" u="1"/>
        <s v="SITE 1.8.1" u="1"/>
        <s v="STRUCT 2.6.2" u="1"/>
        <s v=" MECH 5.1.6" u="1"/>
        <s v=" INT 4.8.4" u="1"/>
        <s v=" MECH 5.1.7" u="1"/>
        <s v=" SITE 1.3.1" u="1"/>
        <s v=" MECH 5.1.8" u="1"/>
        <s v=" ELEC 6.1.1" u="1"/>
        <s v=" EXT 3.1.9" u="1"/>
        <s v=" SITE 1.3.2" u="1"/>
        <s v=" MECH 5.2.1" u="1"/>
        <s v="SITE 1.9.4" u="1"/>
        <s v=" MECH 5.1.9" u="1"/>
        <s v=" ELEC 6.1.2" u="1"/>
        <s v=" SITE 1.3.3" u="1"/>
        <s v=" MECH 5.2.2" u="1"/>
        <s v="STRUCT 2.5.2" u="1"/>
        <s v=" ELEC 6.1.3" u="1"/>
        <s v=" INT 4.8.3" u="1"/>
        <s v=" SITE 1.3.4" u="1"/>
        <s v=" MECH 5.2.3" u="1"/>
        <s v=" ELEC 6.1.4" u="1"/>
        <s v=" SITE 1.3.5" u="1"/>
        <s v=" MECH 5.2.4" u="1"/>
        <s v=" ELEC 6.1.5" u="1"/>
        <s v=" SITE 1.3.6" u="1"/>
        <s v=" EXT 3.1.8" u="1"/>
        <s v=" MECH 5.2.5" u="1"/>
        <s v="SITE 1.9.3" u="1"/>
        <s v=" ELEC 6.1.6" u="1"/>
        <s v=" MECH 5.2.6" u="1"/>
        <s v="STRUCT 2.4.2" u="1"/>
        <s v=" ELEC 6.1.7" u="1"/>
        <s v=" INT 4.9.6" u="1"/>
        <s v=" INT 4.8.2" u="1"/>
        <s v=" MECH 5.2.7" u="1"/>
        <s v=" ELEC 6.1.8" u="1"/>
        <s v=" SITE 1.4.1" u="1"/>
        <s v=" MECH 5.2.8" u="1"/>
        <s v=" ELEC 6.2.1" u="1"/>
        <s v=" SITE 1.4.2" u="1"/>
        <s v=" MECH 5.2.9" u="1"/>
        <s v=" EXT 3.1.7" u="1"/>
        <s v=" ELEC 6.2.2" u="1"/>
        <s v=" FIRE 7.1.12" u="1"/>
        <s v="SITE 1.9.2" u="1"/>
        <s v=" SITE 1.4.3" u="1"/>
        <s v=" ELEC 6.2.3" u="1"/>
        <s v="STRUCT 2.3.2" u="1"/>
        <s v=" INT 4.9.5" u="1"/>
        <s v=" SITE 1.4.4" u="1"/>
        <s v=" INT 4.8.1" u="1"/>
        <s v=" ELEC 6.2.4" u="1"/>
        <s v=" SITE 1.4.5" u="1"/>
        <s v=" ELEC 6.2.5" u="1"/>
        <s v=" SITE 1.4.6" u="1"/>
        <s v=" ELEC 6.2.6" u="1"/>
        <s v=" EXT 3.1.6" u="1"/>
        <s v="SITE 1.9.1" u="1"/>
        <s v=" ELEC 6.2.7" u="1"/>
        <s v="STRUCT 2.2.2" u="1"/>
        <s v=" INT 4.9.4" u="1"/>
        <s v=" ELEC 6.2.8" u="1"/>
        <s v=" SITE 1.5.1" u="1"/>
        <s v="ELEV 8.1.6" u="1"/>
        <s v=" ELEC 6.3.1" u="1"/>
        <s v=" ELEC 6.2.9" u="1"/>
        <s v=" SITE 1.5.2" u="1"/>
        <s v="INT 4.1.1" u="1"/>
        <s v=" MECH 5.1.10" u="1"/>
        <s v=" EXT 3.2.9" u="1"/>
        <s v=" ELEC 6.3.2" u="1"/>
        <s v="INT 4.2.1" u="1"/>
        <s v=" EXT 3.1.5" u="1"/>
        <s v=" SITE 1.5.3" u="1"/>
        <s v="INT 4.3.1" u="1"/>
        <s v=" ELEC 6.3.3" u="1"/>
        <s v="INT 4.4.1" u="1"/>
        <s v=" SITE 1.5.4" u="1"/>
        <s v="INT 4.5.1" u="1"/>
        <s v="STRUCT 2.1.2" u="1"/>
        <s v=" INT 4.9.3" u="1"/>
        <s v=" ELEC 6.3.4" u="1"/>
        <s v="INT 4.6.1" u="1"/>
        <s v=" SITE 1.5.5" u="1"/>
        <s v="INT 4.7.1" u="1"/>
        <s v="ELEV 8.1.5" u="1"/>
        <s v=" ELEC 6.3.5" u="1"/>
        <s v="INT 4.8.1" u="1"/>
        <s v=" SITE 1.5.6" u="1"/>
        <s v="INT 4.9.1" u="1"/>
        <s v=" ELEC 6.3.6" u="1"/>
        <s v=" EXT 3.2.8" u="1"/>
        <s v=" EXT 3.1.4" u="1"/>
        <s v=" INT 4.9.2" u="1"/>
        <s v=" SITE 1.6.1" u="1"/>
        <s v=" ELEC 6.4.1" u="1"/>
        <s v="ELEV 8.1.4" u="1"/>
        <s v=" SITE 1.6.2" u="1"/>
        <s v="INT 4.1.2" u="1"/>
        <s v=" MECH 5.2.10" u="1"/>
        <s v=" ELEC 6.4.2" u="1"/>
        <s v="INT 4.2.2" u="1"/>
        <s v=" EXT 3.2.7" u="1"/>
        <s v=" SITE 1.6.3" u="1"/>
        <s v="INT 4.3.2" u="1"/>
        <s v=" EXT 3.1.3" u="1"/>
        <s v=" ELEC 6.4.3" u="1"/>
        <s v="INT 4.4.2" u="1"/>
        <s v=" SITE 1.6.4" u="1"/>
        <s v="INT 4.5.2" u="1"/>
        <s v=" ELEC 6.4.4" u="1"/>
        <s v="INT 4.6.2" u="1"/>
        <s v=" INT 4.9.1" u="1"/>
        <s v=" SITE 1.6.5" u="1"/>
        <s v="INT 4.7.2" u="1"/>
        <s v=" ELEC 6.4.5" u="1"/>
        <s v="INT 4.8.2" u="1"/>
        <s v="ELEV 8.1.3" u="1"/>
        <s v=" SITE 1.6.6" u="1"/>
        <s v="INT 4.9.2" u="1"/>
        <s v=" ELEC 6.4.6" u="1"/>
        <s v=" EXT 3.2.6" u="1"/>
        <s v=" EXT 3.1.2" u="1"/>
        <s v="STRUCT 2.6.3" u="1"/>
        <s v=" SITE 1.7.1" u="1"/>
        <s v=" ELEC 6.5.1" u="1"/>
        <s v=" ELEC 6.2.10" u="1"/>
        <s v=" SITE 1.7.2" u="1"/>
        <s v="INT 4.1.3" u="1"/>
        <s v="ELEV 8.1.2" u="1"/>
        <s v=" ELEC 6.5.2" u="1"/>
        <s v="INT 4.2.3" u="1"/>
        <s v=" SITE 1.7.3" u="1"/>
        <s v="INT 4.3.3" u="1"/>
        <s v=" EXT 3.2.5" u="1"/>
        <s v=" ELEC 6.5.3" u="1"/>
        <s v="INT 4.4.3" u="1"/>
        <s v=" EXT 3.1.1" u="1"/>
        <s v=" SITE 1.7.4" u="1"/>
        <s v="INT 4.5.3" u="1"/>
        <s v="STRUCT 2.5.3" u="1"/>
        <s v=" ELEC 6.5.4" u="1"/>
        <s v="INT 4.6.3" u="1"/>
        <s v=" SITE 1.7.5" u="1"/>
        <s v="INT 4.7.3" u="1"/>
        <s v=" ELEC 6.5.5" u="1"/>
        <s v="INT 4.8.3" u="1"/>
        <s v=" SITE 1.7.6" u="1"/>
        <s v="INT 4.9.3" u="1"/>
        <s v="ELEV 8.1.1" u="1"/>
        <s v=" ELEC 6.5.6" u="1"/>
        <s v=" EXT 3.2.4" u="1"/>
        <s v="STRUCT 2.4.3" u="1"/>
        <s v=" SITE 1.8.1" u="1"/>
        <s v=" SITE 1.8.2" u="1"/>
        <s v="INT 4.1.4" u="1"/>
        <s v="ELEV 8.2.4" u="1"/>
        <s v="INT 4.2.4" u="1"/>
        <s v=" SITE 1.8.3" u="1"/>
        <s v="INT 4.3.4" u="1"/>
        <s v=" EXT 3.3.7" u="1"/>
        <s v=" FIRE 7.1.13" u="1"/>
        <s v="INT 4.4.4" u="1"/>
        <s v=" EXT 3.2.3" u="1"/>
        <s v=" SITE 1.8.4" u="1"/>
        <s v="INT 4.5.4" u="1"/>
        <s v="INT 4.6.4" u="1"/>
        <s v="STRUCT 2.3.3" u="1"/>
        <s v="INT 4.10.9" u="1"/>
        <s v=" SITE 1.8.5" u="1"/>
        <s v="INT 4.7.4" u="1"/>
        <s v="INT 4.8.4" u="1"/>
        <s v=" SITE 1.8.6" u="1"/>
        <s v="INT 4.9.4" u="1"/>
        <s v="ELEV 8.2.3" u="1"/>
        <s v=" SITE 1.8.7" u="1"/>
        <s v=" EXT 3.3.6" u="1"/>
        <s v=" SITE 1.8.8" u="1"/>
        <s v=" EXT 3.2.2" u="1"/>
        <s v="STRUCT 2.2.3" u="1"/>
        <s v="INT 4.10.8" u="1"/>
        <s v=" SITE 1.8.9" u="1"/>
        <s v="INT 4.1.5" u="1"/>
        <s v="INT 4.2.5" u="1"/>
        <s v="ELEV 8.2.2" u="1"/>
        <s v="INT 4.3.5" u="1"/>
        <s v=" MECH 5.1.11" u="1"/>
        <s v="INT 4.4.5" u="1"/>
        <s v=" EXT 3.3.5" u="1"/>
        <s v="INT 4.5.5" u="1"/>
        <s v=" EXT 3.2.1" u="1"/>
        <s v="INT 4.6.5" u="1"/>
        <s v="INT 4.7.5" u="1"/>
        <s v="STRUCT 2.1.3" u="1"/>
        <s v="INT 4.10.7" u="1"/>
        <s v="INT 4.8.5" u="1"/>
        <s v="INT 4.9.5" u="1"/>
        <s v="ELEV 8.2.1" u="1"/>
        <s v=" EXT 3.3.4" u="1"/>
        <s v="INT 4.10.6" u="1"/>
        <s v="INT 4.1.6" u="1"/>
        <s v="INT 4.2.6" u="1"/>
        <s v="INT 4.3.6" u="1"/>
        <s v=" MECH 5.2.11" u="1"/>
        <s v="INT 4.4.6" u="1"/>
        <s v="INT 4.5.6" u="1"/>
        <s v=" EXT 3.3.3" u="1"/>
        <s v="INT 4.6.6" u="1"/>
        <s v="INT 4.7.6" u="1"/>
        <s v="INT 4.11.9" u="1"/>
        <s v="INT 4.8.6" u="1"/>
        <s v="INT 4.10.5" u="1"/>
        <s v="INT 4.9.6" u="1"/>
        <s v=" EXT 3.4.6" u="1"/>
        <s v=" EXT 3.3.2" u="1"/>
        <s v=" SITE 1.8.10" u="1"/>
        <s v="STRUCT 2.6.4" u="1"/>
        <s v="INT 4.11.8" u="1"/>
        <s v="INT 4.10.4" u="1"/>
        <s v=" ELEC 6.2.11" u="1"/>
        <s v=" EXT 3.4.5" u="1"/>
        <s v=" EXT 3.3.1" u="1"/>
        <s v="STRUCT 2.5.4" u="1"/>
        <s v="INT 4.11.7" u="1"/>
        <s v="INT 4.10.3" u="1"/>
        <s v=" EXT 3.4.4" u="1"/>
        <s v="STRUCT 2.4.4" u="1"/>
        <s v="INT 4.11.6" u="1"/>
        <s v="INT 4.10.2" u="1"/>
        <s v=" EXT 3.4.3" u="1"/>
        <s v="STRUCT 2.3.4" u="1"/>
        <s v="INT 4.11.5" u="1"/>
        <s v=" ELEV 8.1.1" u="1"/>
        <s v="INT 4.10.1" u="1"/>
        <s v=" ELEV 8.1.2" u="1"/>
        <s v=" ELEV 8.1.3" u="1"/>
        <s v=" EXT 3.5.6" u="1"/>
        <s v=" EXT 3.4.2" u="1"/>
        <s v=" ELEV 8.1.4" u="1"/>
        <s v="STRUCT 2.2.4" u="1"/>
        <s v=" ELEV 8.1.5" u="1"/>
        <s v="INT 4.11.4" u="1"/>
        <s v=" ELEV 8.1.6" u="1"/>
        <s v=" EXT 3.5.5" u="1"/>
        <s v=" EXT 3.4.1" u="1"/>
        <s v=" EXT 3.1.10" u="1"/>
        <s v="STRUCT 2.1.4" u="1"/>
        <s v=" EXT 3.1.11" u="1"/>
        <s v="INT 4.11.3" u="1"/>
        <s v=" EXT 3.1.12" u="1"/>
        <s v=" EXT 3.1.13" u="1"/>
        <s v=" EXT 3.5.4" u="1"/>
        <s v="INT 4.11.2" u="1"/>
        <s v=" EXT 3.5.3" u="1"/>
        <s v="INT 4.11.1" u="1"/>
        <s v=" EXT 3.5.2" u="1"/>
        <s v=" ELEC 6.2.12" u="1"/>
        <s v=" EXT 3.5.1" u="1"/>
        <s v=" EXT 3.2.10" u="1"/>
        <s v="STRUCT 2.5.5" u="1"/>
        <s v=" EXT 3.2.11" u="1"/>
        <s v=" EXT 3.2.12" u="1"/>
        <s v=" EXT 3.2.13" u="1"/>
        <s v=" STRUCT 2.1.1" u="1"/>
        <s v=" STRUCT 2.2.1" u="1"/>
        <s v=" STRUCT 2.3.1" u="1"/>
        <s v=" STRUCT 2.4.1" u="1"/>
        <s v=" STRUCT 2.5.1" u="1"/>
        <s v="MECH 5.1.9" u="1"/>
        <s v="SITE 1.1.8" u="1"/>
        <s v=" EXT 3.6.2" u="1"/>
        <s v="ELEC 6.1.8" u="1"/>
        <s v="MECH 5.1.8" u="1"/>
        <s v="SITE 1.1.7" u="1"/>
        <s v="ELEC 6.1.7" u="1"/>
        <s v="MECH 5.1.7" u="1"/>
        <s v="SITE 1.1.6" u="1"/>
        <s v=" STRUCT 2.1.2" u="1"/>
        <s v=" STRUCT 2.2.2" u="1"/>
        <s v="ELEC 6.1.6" u="1"/>
        <s v=" STRUCT 2.3.2" u="1"/>
        <s v="EXT 3.1.1" u="1"/>
        <s v="MECH 5.1.6" u="1"/>
        <s v="EXT 3.2.1" u="1"/>
        <s v="SITE 1.1.5" u="1"/>
        <s v=" STRUCT 2.4.2" u="1"/>
        <s v="EXT 3.3.1" u="1"/>
        <s v="EXT 3.4.1" u="1"/>
        <s v=" STRUCT 2.5.2" u="1"/>
        <s v="EXT 3.5.1" u="1"/>
        <s v="EXT 3.6.1" u="1"/>
        <s v="ELEC 6.2.9" u="1"/>
        <s v="ELEC 6.1.5" u="1"/>
        <s v="MECH 5.2.9" u="1"/>
        <s v="MECH 5.1.5" u="1"/>
        <s v="SITE 1.1.4" u="1"/>
        <s v=" ELEC 6.2.13" u="1"/>
        <s v="ELEC 6.2.8" u="1"/>
        <s v="ELEC 6.1.4" u="1"/>
        <s v="EXT 3.1.2" u="1"/>
        <s v="MECH 5.2.8" u="1"/>
        <s v="EXT 3.2.2" u="1"/>
        <s v="MECH 5.1.4" u="1"/>
        <s v="EXT 3.3.2" u="1"/>
        <s v="SITE 1.1.3" u="1"/>
        <s v="EXT 3.4.2" u="1"/>
        <s v="STRUCT 2.5.6" u="1"/>
        <s v="EXT 3.5.2" u="1"/>
        <s v=" INT 4.1.6" u="1"/>
        <s v="EXT 3.6.2" u="1"/>
        <s v="ELEC 6.2.7" u="1"/>
        <s v="ELEC 6.1.3" u="1"/>
        <s v="MECH 5.2.7" u="1"/>
        <s v="SITE 1.2.6" u="1"/>
        <s v="MECH 5.1.3" u="1"/>
        <s v="SITE 1.1.2" u="1"/>
        <s v=" STRUCT 2.1.3" u="1"/>
        <s v=" INT 4.1.5" u="1"/>
        <s v=" STRUCT 2.2.3" u="1"/>
        <s v="ELEC 6.2.6" u="1"/>
        <s v=" STRUCT 2.3.3" u="1"/>
        <s v="EXT 3.1.3" u="1"/>
        <s v="ELEC 6.1.2" u="1"/>
        <s v="EXT 3.2.3" u="1"/>
        <s v=" STRUCT 2.4.3" u="1"/>
        <s v="MECH 5.2.6" u="1"/>
        <s v="EXT 3.3.3" u="1"/>
        <s v="SITE 1.2.5" u="1"/>
        <s v="MECH 5.1.2" u="1"/>
        <s v="EXT 3.4.3" u="1"/>
        <s v="SITE 1.1.1" u="1"/>
        <s v=" STRUCT 2.5.3" u="1"/>
        <s v="EXT 3.5.3" u="1"/>
        <s v="EXT 3.6.3" u="1"/>
        <s v=" INT 4.1.4" u="1"/>
        <s v="ELEC 6.2.5" u="1"/>
        <s v="ELEC 6.1.1" u="1"/>
        <s v="MECH 5.2.5" u="1"/>
        <s v="SITE 1.2.4" u="1"/>
        <s v="MECH 5.1.1" u="1"/>
        <s v=" INT 4.1.3" u="1"/>
        <s v="EXT 3.1.4" u="1"/>
        <s v="ELEC 6.2.4" u="1"/>
        <s v="EXT 3.2.4" u="1"/>
        <s v="EXT 3.3.4" u="1"/>
        <s v="MECH 5.2.4" u="1"/>
        <s v="EXT 3.4.4" u="1"/>
        <s v="SITE 1.2.3" u="1"/>
        <s v="EXT 3.5.4" u="1"/>
        <s v="EXT 3.6.4" u="1"/>
        <s v=" INT 4.2.6" u="1"/>
        <s v=" INT 4.1.2" u="1"/>
        <s v="ELEC 6.2.3" u="1"/>
        <s v="SITE 1.3.6" u="1"/>
        <s v="MECH 5.2.3" u="1"/>
        <s v=" STRUCT 2.1.4" u="1"/>
        <s v="SITE 1.2.2" u="1"/>
        <s v=" STRUCT 2.2.4" u="1"/>
        <s v=" INT 4.2.5" u="1"/>
        <s v=" INT 4.1.1" u="1"/>
        <s v=" STRUCT 2.3.4" u="1"/>
        <s v="EXT 3.1.5" u="1"/>
        <s v="ELEC 6.3.6" u="1"/>
        <s v="EXT 3.2.5" u="1"/>
        <s v="ELEC 6.2.2" u="1"/>
        <s v=" STRUCT 2.4.4" u="1"/>
        <s v="EXT 3.3.5" u="1"/>
        <s v="EXT 3.4.5" u="1"/>
        <s v="SITE 1.3.5" u="1"/>
        <s v=" STRUCT 2.5.4" u="1"/>
        <s v="MECH 5.2.2" u="1"/>
        <s v="EXT 3.5.5" u="1"/>
        <s v="SITE 1.2.1" u="1"/>
        <s v=" INT 4.2.4" u="1"/>
        <s v="ELEC 6.3.5" u="1"/>
        <s v="ELEC 6.2.1" u="1"/>
        <s v="SITE 1.3.4" u="1"/>
        <s v="MECH 5.2.1" u="1"/>
        <s v=" INT 4.2.3" u="1"/>
        <s v="EXT 3.1.6" u="1"/>
        <s v="EXT 3.2.6" u="1"/>
        <s v="ELEC 6.3.4" u="1"/>
        <s v="EXT 3.3.6" u="1"/>
        <s v="EXT 3.4.6" u="1"/>
        <s v="MECH 5.3.4" u="1"/>
        <s v="EXT 3.5.6" u="1"/>
        <s v="SITE 1.3.3" u="1"/>
        <s v=" INT 4.3.6" u="1"/>
        <s v=" INT 4.2.2" u="1"/>
        <s v="ELEC 6.3.3" u="1"/>
        <s v="SITE 1.4.6" u="1"/>
        <s v="MECH 5.3.3" u="1"/>
        <s v="SITE 1.3.2" u="1"/>
        <s v=" INT 4.3.5" u="1"/>
        <s v="EXT 3.1.7" u="1"/>
        <s v=" INT 4.2.1" u="1"/>
        <s v="EXT 3.2.7" u="1"/>
        <s v="ELEC 6.4.6" u="1"/>
        <s v="EXT 3.3.7" u="1"/>
        <s v="ELEC 6.3.2" u="1"/>
        <s v=" STRUCT 2.5.5" u="1"/>
        <s v="SITE 1.4.5" u="1"/>
        <s v="MECH 5.3.2" u="1"/>
        <s v="SITE 1.3.1" u="1"/>
        <s v=" INT 4.3.4" u="1"/>
        <s v="ELEC 6.4.5" u="1"/>
        <s v="ELEC 6.3.1" u="1"/>
        <s v="SITE 1.4.4" u="1"/>
        <s v="MECH 5.3.1" u="1"/>
        <s v=" FIRE 7.1.1" u="1"/>
        <s v=" FIRE 7.1.2" u="1"/>
        <s v="EXT 3.1.8" u="1"/>
        <s v=" INT 4.3.3" u="1"/>
        <s v="EXT 3.2.8" u="1"/>
        <s v=" FIRE 7.1.3" u="1"/>
        <s v="ELEC 6.4.4" u="1"/>
        <s v=" FIRE 7.1.4" u="1"/>
        <s v="SITE 1.4.3" u="1"/>
        <s v=" FIRE 7.1.5" u="1"/>
        <s v=" INT 4.4.6" u="1"/>
        <s v=" FIRE 7.1.6" u="1"/>
        <s v=" INT 4.3.2" u="1"/>
        <s v=" FIRE 7.1.7" u="1"/>
        <s v="ELEC 6.4.3" u="1"/>
        <s v=" FIRE 7.1.8" u="1"/>
        <s v="SITE 1.5.6" u="1"/>
        <s v="SITE 1.4.2" u="1"/>
        <s v=" FIRE 7.1.9" u="1"/>
        <s v="EXT 3.1.9" u="1"/>
        <s v=" INT 4.4.5" u="1"/>
        <s v="EXT 3.2.9" u="1"/>
        <s v=" INT 4.3.1" u="1"/>
        <s v="ELEC 6.5.6" u="1"/>
        <s v="ELEC 6.4.2" u="1"/>
        <s v=" STRUCT 2.5.6" u="1"/>
        <s v="SITE 1.5.5" u="1"/>
        <s v="SITE 1.4.1" u="1"/>
        <s v=" INT 4.4.4" u="1"/>
        <s v="ELEC 6.5.5" u="1"/>
        <s v="ELEC 6.4.1" u="1"/>
        <s v="SITE 1.5.4" u="1"/>
        <s v=" INT 4.4.3" u="1"/>
        <s v="ELEC 6.5.4" u="1"/>
        <s v="FIRE 7.1.9" u="1"/>
        <s v="SITE 1.5.3" u="1"/>
        <s v=" INT 4.5.6" u="1"/>
        <s v=" INT 4.4.2" u="1"/>
      </sharedItems>
    </cacheField>
    <cacheField name="CATEGORY" numFmtId="0">
      <sharedItems containsBlank="1" count="9">
        <s v="1. SITE"/>
        <s v="2. STRUCTURAL"/>
        <s v="3. EXTERIOR"/>
        <s v="4. INTERIOR"/>
        <s v="5. MECHANICAL"/>
        <s v="6. ELECTRICAL"/>
        <s v="7. FIRE PROTECTION"/>
        <s v="8. ELEVATING DEVICES"/>
        <m u="1"/>
      </sharedItems>
    </cacheField>
    <cacheField name="SUB-CATEGORY" numFmtId="0">
      <sharedItems/>
    </cacheField>
    <cacheField name="COMPONENT" numFmtId="0">
      <sharedItems/>
    </cacheField>
    <cacheField name="TASK DESCRIPTION" numFmtId="0">
      <sharedItems containsBlank="1" count="164">
        <s v="Aerate lawn areas"/>
        <s v="Pruning of shrubs &amp; trees and site cleanup"/>
        <s v="Add mulch to planters"/>
        <s v="Provide vegetation control and site cleanup"/>
        <s v="TBD"/>
        <s v="Seasonal service to irrigation system"/>
        <s v="Check for leaks in irrigation system"/>
        <s v="Repair damaged sprinkler heads"/>
        <s v="Repair damaged irrigation controller"/>
        <s v="Repair worn areas"/>
        <s v="Install goals (pair)"/>
        <s v="Install sport lines"/>
        <s v="Check all surfaces and equipment"/>
        <s v="Repair playground apparatus"/>
        <s v="Install new pea gravel under equipment"/>
        <s v="Repair gravel surround"/>
        <s v="Clean algae from surfaces"/>
        <s v="Check for structural damage (cracks, spalling, etc.)"/>
        <s v="Replace rotten timbers"/>
        <s v="Check for tripping hazards "/>
        <s v="Add gravel to eliminate pot holes"/>
        <s v="Provide snow removal "/>
        <s v="Replace stairs and ramp to code compliance"/>
        <s v="Clean, prep and re-stain site perimeter fencing"/>
        <s v="Repair damaged fencing / gate"/>
        <s v="Repaint all parking lot markings"/>
        <s v="Provide crack sealing for all asphalt surfaces "/>
        <s v="Parking lot cleaning"/>
        <s v="Fill pot holes w/ pavement"/>
        <s v="Grade parking lot &amp; driveway"/>
        <s v="Fill pot holes w/ gravel"/>
        <s v="Provide dust control for driveway and parking lot"/>
        <s v="Provide snow removal for driveways and parking lots"/>
        <s v="Engage services of a civil and/or building consultant  "/>
        <s v="Clean &amp; inspect parking and landscape catch basins"/>
        <s v="Repair curbs at driveway and parking lot "/>
        <s v="Inspect support columns and/or beams, attachment connections, &amp; bolts"/>
        <s v="Tighten beam &amp; column bolt connections"/>
        <s v="Replace deteriorated structural column/post"/>
        <s v="Engage services of a structural and/or building consultant"/>
        <s v="Replace roofing (Life cycle replacement)"/>
        <s v="Replace roofing  (Life cycle replacement)"/>
        <s v="Replace deck membrane  (Life cycle replacement)"/>
        <s v="Inspect roof surfaces, flashings, and caulking joints"/>
        <s v="Inspect roof area due to wind storm"/>
        <s v="Repair roof flashings damaged from wind storm"/>
        <s v="Clean gutters, roof drains, and downspouts"/>
        <s v="Clean all decks and built-in deck drains"/>
        <s v="Replace siding  (Life cycle replacement)"/>
        <s v="Replace caulking &amp; paint all exposed cladding/siding, structure &amp; trim  (Life cycle replacement)"/>
        <s v="Inspect exterior cladding/siding, flashings, and caulking"/>
        <s v="Clean all cladding &amp; trim"/>
        <s v="Repair/replace damaged siding"/>
        <s v="Replace windows &amp; patio doors  (Life cycle replacement)"/>
        <s v="Inspect all exterior windows, patio doors, &amp; caulking "/>
        <s v="Replace damaged sealed unit"/>
        <s v="Wash all exterior windows "/>
        <s v="Replace exterior doors &amp; hardware  (Life cycle replacement)"/>
        <s v="Adjust all doors, weatherstripping, and hardware"/>
        <s v="Inspect all overhead &amp; coiling overhead doors"/>
        <s v="Secure all loose fasteners and touch up surface corrosion  "/>
        <s v="Paint all handrails &amp; guardrails (Life cycle replacement)"/>
        <s v="Engage services of a Structural, Envelope, and/or Building consultant.  "/>
        <s v="Paint all wood  handrails &amp; guardrails (Life cycle replacement)"/>
        <s v="Replace all floor finishes  (Life cycle replacement)"/>
        <s v="Inspect all floor finishes"/>
        <s v="Repair lifting flooring."/>
        <s v="Repair walls damaged from chairs/furniture/use "/>
        <s v="Replace damaged T-Bar Ceiling Tiles ."/>
        <s v="Adjust all door hardware"/>
        <s v="Replace damaged door hardware"/>
        <s v="Re-paint all washroom &amp; kitchen walls &amp; ceilings"/>
        <s v="Re-paint all Board Room walls &amp; ceilings "/>
        <s v="Re-paint all interior walls (remainder of building)"/>
        <s v="Re-paint damaged wall "/>
        <s v="Inspect all stair treads, handrails, and guardrails (secure where needed)"/>
        <s v="Replace damaged stair tread"/>
        <s v="Repair damaged handrail"/>
        <s v="Inspect all finishes and adjust hardware where needed"/>
        <s v="Repair millwork door hardware"/>
        <s v="Service hand dryer (w/ electrician)"/>
        <s v="Replace damaged TP dispenser at toilet stall"/>
        <s v="Inspect and adjust all toilet partitions"/>
        <s v="Replace all window coverings"/>
        <s v="Repair/replace damaged blind"/>
        <s v="Replace all residential appliances"/>
        <s v="Replace all commercial appliances"/>
        <s v="Service dishwashers in staff areas"/>
        <s v="Service dishwasher in commercial kitchen"/>
        <s v="Service gas burning cookers"/>
        <s v="Engage services of a Structural and/or Building consultant.  Hazardous Materials survey."/>
        <s v="Daily interior custodial work"/>
        <s v="Provide monthly costs:  Hydro"/>
        <s v="Provide monthly costs:  Gas"/>
        <s v="Provide monthly costs:  Phone &amp; Internet"/>
        <s v="Provide monthly costs:  Water"/>
        <s v="Provide monthly costs:  Sewer"/>
        <s v="Provide monthly costs:  Municipal MTSA/Fire Protection"/>
        <s v="Provide monthly costs:  24 Hr Fire Protection Monitoring"/>
        <s v="Provide monthly costs: 24 Hr Security System Monitoring"/>
        <s v="Replace Electric Hot Water Tank and accessories"/>
        <s v="Replace Gas-Fired Hot Water Tank and accessories"/>
        <s v="Replace commercial grade Gas-Fired Hot Water Heater  and accessories"/>
        <s v="Service Gas-Fired Hot Water Heater and accessories"/>
        <s v="Clear plugged drain"/>
        <s v="Replace Toilet"/>
        <s v="Replace Electric Hot Water Tank (x1)"/>
        <s v="Inspect air handling equipment"/>
        <s v="Conduct service of AHU, HRV or, ERV "/>
        <s v="Inspect heat pump"/>
        <s v="Inspect washroom &amp; commercial kitchen exhaust system equipment"/>
        <s v="Clean commercial kitchen exhaust hood"/>
        <s v="Clean ductwork for HVAC &amp; Exhaust Equipment "/>
        <s v="Verify operation of all heat/cool/exhaust controls"/>
        <s v="Replace ceiling propeller circulation fan"/>
        <s v="Engage services of a Mechanical and/or Building consultant.  "/>
        <s v="Inspect &amp; service poles, support wires, main feeds, and building connections."/>
        <s v="Inspect &amp; service main &amp; distribution panel circuit breakers and connections"/>
        <s v="Replace broken outlet"/>
        <s v="Replace light bulbs (in Offices)"/>
        <s v="Replace exterior LED Fixture (Life cycle replacement)"/>
        <s v="Replace interior LED Fixture (Life cycle replacement)"/>
        <s v="Replace damaged fixture"/>
        <s v="Inspect and adjust lighting controls system"/>
        <s v="Inspect &amp; service all emergency alarm &amp; power devices"/>
        <s v="Replace speaker in main Corridor"/>
        <s v="Repair damaged data wiring"/>
        <s v="Inspect &amp; service Fire Alarm System "/>
        <s v="Inspect &amp; service Security Alarm System "/>
        <s v="Inspect &amp; service Generator System "/>
        <s v="Operate, inspect, and service Generator System "/>
        <s v="Fuel purchase for the operation of the Generator System "/>
        <s v="Engage services of Electrical and/or Building consultant  "/>
        <s v="Inspect &amp; service Fire Protection Sprinkler System   "/>
        <s v="Replace discharged fire extinguisher"/>
        <s v="Repaint all exterior sprinkler piping and inspect supports at overhangs and soffit areas (Life cycle replacement)"/>
        <s v="Replace exposed exterior fire sprinkler dry heads at overhangs and soffit areas (Life cycle replacement)"/>
        <s v="Replace fire sprinkler dry system air compressor (Life cycle replacement)"/>
        <s v="Replace fire sprinkler wet system flap valve (Life cycle replacement)"/>
        <s v="Service and certify operation of backflow prevention assembly"/>
        <s v="Replace backflow prevention assembly (Life cycle replacement)"/>
        <s v="Inspect &amp; service Commercial Kitchen Fire Suppression System   "/>
        <s v="Inspect &amp; service Fire Extinguishers 1 ABC &amp; 1 class K Wet chemical (commercial kitchen)"/>
        <s v="Engage services of a Mechanical, Electrical, and/or Building consultant"/>
        <s v="Service and maintenance of elevator to conform with the elevated safety device authority"/>
        <s v="Service and maintenance of H/C Lift to conform with the elevated safety device authority"/>
        <s v="Service and maintenance of chair lift to conform with the elevated safety device authority"/>
        <s v="Engage services of a Mechanical, Electrical, and/or Building consultant."/>
        <m u="1"/>
        <s v="Replace 5 Toilets" u="1"/>
        <s v="Replace all light bulbs (in Offices)" u="1"/>
        <s v="Replace Electric Hot Water Tanks (x2) and accessories" u="1"/>
        <s v="Replace Gas-Fired Hot Water Tanks (x2) and accessories" u="1"/>
        <s v="Install goals" u="1"/>
        <s v="Inspect &amp; service Fire Extinguishers (4) ABC &amp; 1 class K Wet chemical (commercial kitchen)" u="1"/>
        <s v="Replace commercial grade Gas-Fired Hot Water Heaters (x1) and accessories" u="1"/>
        <s v="Replace six (6) speakers in main Corridor" u="1"/>
        <s v="Service Gas-Fired Hot Water Heaters (x1) and accessories" u="1"/>
        <s v="Replace all exterior LED Fixtures (Life cycle replacement)" u="1"/>
        <s v="Replace all interior LED Fixtures (Life cycle replacement)" u="1"/>
        <s v="Replace 6 broken outlets" u="1"/>
        <s v="Replace (4) ceiling propeller circulation fans" u="1"/>
        <s v="Inspect &amp; service AHU No. 01, ERV No's 01 &amp; 02 replace (12) filters" u="1"/>
        <s v="Inspect 2 heat pumps" u="1"/>
      </sharedItems>
    </cacheField>
    <cacheField name="MAINTENANCE OR CAPITAL" numFmtId="0">
      <sharedItems/>
    </cacheField>
    <cacheField name="FREQUENCY" numFmtId="0">
      <sharedItems count="14">
        <s v="Annual"/>
        <s v="Weekly"/>
        <s v="As Required"/>
        <s v="Semi-Annual"/>
        <s v="Monthly"/>
        <s v="Quarterly"/>
        <s v="Every 5 Years"/>
        <s v="Every 3 Years"/>
        <s v="Every 25 Years"/>
        <s v="Every 40 Years"/>
        <s v="Every 10 Years"/>
        <s v="Every 7 Years"/>
        <s v="Every 20 Years"/>
        <s v="Every 15 Years"/>
      </sharedItems>
    </cacheField>
    <cacheField name="FREQUENCY   (TIMES PER YEAR)" numFmtId="0">
      <sharedItems containsSemiMixedTypes="0" containsString="0" containsNumber="1" minValue="0" maxValue="52"/>
    </cacheField>
    <cacheField name="QUANTITY" numFmtId="0">
      <sharedItems containsSemiMixedTypes="0" containsString="0" containsNumber="1" containsInteger="1" minValue="0" maxValue="0"/>
    </cacheField>
    <cacheField name="Units" numFmtId="0">
      <sharedItems/>
    </cacheField>
    <cacheField name="OPERATOR HOURS (BASE)" numFmtId="166">
      <sharedItems containsString="0" containsBlank="1" containsNumber="1" containsInteger="1" minValue="0" maxValue="1"/>
    </cacheField>
    <cacheField name="OPERATOR HOURS (PER UNIT)" numFmtId="167">
      <sharedItems containsString="0" containsBlank="1" containsNumber="1" minValue="0" maxValue="48"/>
    </cacheField>
    <cacheField name="TOTAL OPERATOR HOURS" numFmtId="166">
      <sharedItems containsSemiMixedTypes="0" containsString="0" containsNumber="1" containsInteger="1" minValue="0" maxValue="1"/>
    </cacheField>
    <cacheField name="OPERATOR RATE" numFmtId="44">
      <sharedItems containsSemiMixedTypes="0" containsString="0" containsNumber="1" minValue="37.5" maxValue="37.5"/>
    </cacheField>
    <cacheField name="OPERATOR COST" numFmtId="44">
      <sharedItems containsSemiMixedTypes="0" containsString="0" containsNumber="1" minValue="0" maxValue="37.5"/>
    </cacheField>
    <cacheField name="CONTRACTOR COST" numFmtId="44">
      <sharedItems containsString="0" containsBlank="1" containsNumber="1" containsInteger="1" minValue="0" maxValue="2500"/>
    </cacheField>
    <cacheField name="EQUIPMENT" numFmtId="44">
      <sharedItems containsString="0" containsBlank="1" containsNumber="1" containsInteger="1" minValue="0" maxValue="1000"/>
    </cacheField>
    <cacheField name="PARTS AND MATERIALS" numFmtId="44">
      <sharedItems containsSemiMixedTypes="0" containsString="0" containsNumber="1" containsInteger="1" minValue="0" maxValue="25000"/>
    </cacheField>
    <cacheField name="UTILITIES" numFmtId="44">
      <sharedItems containsString="0" containsBlank="1" containsNumber="1" containsInteger="1" minValue="0" maxValue="0"/>
    </cacheField>
    <cacheField name="ANNUAL COST PER WORK ORDER" numFmtId="44">
      <sharedItems containsSemiMixedTypes="0" containsString="0" containsNumber="1" minValue="0" maxValue="1503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s v=" "/>
    <s v=" "/>
    <s v=" "/>
    <e v="#N/A"/>
    <x v="0"/>
    <s v=" "/>
    <m/>
    <s v=" "/>
    <s v=" "/>
    <s v=" "/>
    <s v=" "/>
    <s v=" "/>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7">
  <r>
    <x v="0"/>
    <x v="0"/>
    <x v="0"/>
    <s v="1.1. Soft Landscaping"/>
    <s v="Grass"/>
    <x v="0"/>
    <s v="Maintenance"/>
    <x v="0"/>
    <n v="1"/>
    <n v="0"/>
    <s v="m² "/>
    <n v="1"/>
    <n v="1.6000000000000001E-3"/>
    <n v="1"/>
    <n v="37.5"/>
    <n v="37.5"/>
    <n v="0"/>
    <n v="100"/>
    <n v="15"/>
    <m/>
    <n v="152.5"/>
  </r>
  <r>
    <x v="0"/>
    <x v="1"/>
    <x v="0"/>
    <s v="1.1. Soft Landscaping"/>
    <s v="Plantings"/>
    <x v="1"/>
    <s v="Maintenance"/>
    <x v="0"/>
    <n v="1"/>
    <n v="0"/>
    <s v="m² "/>
    <n v="1"/>
    <n v="3.2000000000000002E-3"/>
    <n v="1"/>
    <n v="37.5"/>
    <n v="37.5"/>
    <n v="0"/>
    <n v="75"/>
    <n v="0"/>
    <m/>
    <n v="112.5"/>
  </r>
  <r>
    <x v="0"/>
    <x v="2"/>
    <x v="0"/>
    <s v="1.1. Soft Landscaping"/>
    <s v="Plantings"/>
    <x v="2"/>
    <s v="Maintenance"/>
    <x v="0"/>
    <n v="1"/>
    <n v="0"/>
    <s v="m² "/>
    <n v="0"/>
    <n v="1.6000000000000001E-3"/>
    <n v="0"/>
    <n v="37.5"/>
    <n v="0"/>
    <n v="0"/>
    <n v="0"/>
    <n v="150"/>
    <m/>
    <n v="150"/>
  </r>
  <r>
    <x v="0"/>
    <x v="3"/>
    <x v="0"/>
    <s v="1.1. Soft Landscaping"/>
    <s v="Grass"/>
    <x v="3"/>
    <s v="Maintenance"/>
    <x v="1"/>
    <n v="52"/>
    <n v="0"/>
    <s v="m² "/>
    <n v="1"/>
    <n v="1.6000000000000001E-3"/>
    <n v="1"/>
    <n v="37.5"/>
    <n v="37.5"/>
    <n v="0"/>
    <n v="15"/>
    <n v="5"/>
    <m/>
    <n v="2990"/>
  </r>
  <r>
    <x v="0"/>
    <x v="4"/>
    <x v="0"/>
    <s v="1.1. Soft Landscaping"/>
    <s v="TBD"/>
    <x v="4"/>
    <s v="N/A"/>
    <x v="2"/>
    <n v="0"/>
    <n v="0"/>
    <s v=""/>
    <m/>
    <m/>
    <n v="0"/>
    <n v="37.5"/>
    <n v="0"/>
    <n v="0"/>
    <n v="0"/>
    <n v="0"/>
    <m/>
    <n v="0"/>
  </r>
  <r>
    <x v="0"/>
    <x v="5"/>
    <x v="0"/>
    <s v="1.1. Soft Landscaping"/>
    <s v="TBD"/>
    <x v="4"/>
    <s v="N/A"/>
    <x v="2"/>
    <n v="0"/>
    <n v="0"/>
    <s v=""/>
    <m/>
    <m/>
    <n v="0"/>
    <n v="37.5"/>
    <n v="0"/>
    <n v="0"/>
    <n v="0"/>
    <n v="0"/>
    <m/>
    <n v="0"/>
  </r>
  <r>
    <x v="0"/>
    <x v="6"/>
    <x v="0"/>
    <s v="1.1. Soft Landscaping"/>
    <s v="TBD"/>
    <x v="4"/>
    <s v="N/A"/>
    <x v="2"/>
    <n v="0"/>
    <n v="0"/>
    <s v=""/>
    <m/>
    <m/>
    <n v="0"/>
    <n v="37.5"/>
    <n v="0"/>
    <n v="0"/>
    <n v="0"/>
    <n v="0"/>
    <m/>
    <n v="0"/>
  </r>
  <r>
    <x v="0"/>
    <x v="7"/>
    <x v="0"/>
    <s v="1.1. Soft Landscaping"/>
    <s v="TBD"/>
    <x v="4"/>
    <s v="N/A"/>
    <x v="2"/>
    <n v="0"/>
    <n v="0"/>
    <s v=""/>
    <m/>
    <m/>
    <n v="0"/>
    <n v="37.5"/>
    <n v="0"/>
    <n v="0"/>
    <n v="0"/>
    <n v="0"/>
    <m/>
    <n v="0"/>
  </r>
  <r>
    <x v="0"/>
    <x v="8"/>
    <x v="0"/>
    <s v="1.2. Irrigation"/>
    <s v="Irrigation"/>
    <x v="5"/>
    <s v="Maintenance"/>
    <x v="3"/>
    <n v="2"/>
    <n v="0"/>
    <s v="m² "/>
    <n v="1"/>
    <n v="1.6000000000000001E-3"/>
    <n v="1"/>
    <n v="37.5"/>
    <n v="37.5"/>
    <n v="300"/>
    <n v="0"/>
    <n v="0"/>
    <m/>
    <n v="675"/>
  </r>
  <r>
    <x v="0"/>
    <x v="9"/>
    <x v="0"/>
    <s v="1.2. Irrigation"/>
    <s v="Irrigation"/>
    <x v="6"/>
    <s v="Maintenance"/>
    <x v="0"/>
    <n v="1"/>
    <n v="0"/>
    <s v="m² "/>
    <n v="1"/>
    <n v="1.6000000000000001E-3"/>
    <n v="1"/>
    <n v="37.5"/>
    <n v="37.5"/>
    <n v="0"/>
    <n v="0"/>
    <n v="0"/>
    <m/>
    <n v="37.5"/>
  </r>
  <r>
    <x v="0"/>
    <x v="10"/>
    <x v="0"/>
    <s v="1.2. Irrigation"/>
    <s v="Irrigation"/>
    <x v="7"/>
    <s v="Maintenance"/>
    <x v="2"/>
    <n v="1"/>
    <n v="0"/>
    <s v="Each"/>
    <n v="1"/>
    <n v="4"/>
    <n v="1"/>
    <n v="37.5"/>
    <n v="37.5"/>
    <n v="0"/>
    <n v="0"/>
    <n v="100"/>
    <m/>
    <n v="137.5"/>
  </r>
  <r>
    <x v="0"/>
    <x v="11"/>
    <x v="0"/>
    <s v="1.2. Irrigation"/>
    <s v="Irrigation"/>
    <x v="8"/>
    <s v="Maintenance"/>
    <x v="2"/>
    <n v="1"/>
    <n v="0"/>
    <s v="Each"/>
    <n v="1"/>
    <n v="4"/>
    <n v="1"/>
    <n v="37.5"/>
    <n v="37.5"/>
    <n v="0"/>
    <n v="0"/>
    <n v="250"/>
    <m/>
    <n v="287.5"/>
  </r>
  <r>
    <x v="0"/>
    <x v="12"/>
    <x v="0"/>
    <s v="1.2. Irrigation"/>
    <s v="TBD"/>
    <x v="4"/>
    <s v="N/A"/>
    <x v="2"/>
    <n v="0"/>
    <n v="0"/>
    <s v=""/>
    <m/>
    <m/>
    <n v="0"/>
    <n v="37.5"/>
    <n v="0"/>
    <n v="0"/>
    <n v="0"/>
    <n v="0"/>
    <m/>
    <n v="0"/>
  </r>
  <r>
    <x v="0"/>
    <x v="13"/>
    <x v="0"/>
    <s v="1.2. Irrigation"/>
    <s v="TBD"/>
    <x v="4"/>
    <s v="N/A"/>
    <x v="2"/>
    <n v="0"/>
    <n v="0"/>
    <s v=""/>
    <m/>
    <m/>
    <n v="0"/>
    <n v="37.5"/>
    <n v="0"/>
    <n v="0"/>
    <n v="0"/>
    <n v="0"/>
    <m/>
    <n v="0"/>
  </r>
  <r>
    <x v="0"/>
    <x v="14"/>
    <x v="0"/>
    <s v="1.3. Playfields"/>
    <s v="Surface"/>
    <x v="9"/>
    <s v="Maintenance"/>
    <x v="3"/>
    <n v="2"/>
    <n v="0"/>
    <s v="m² "/>
    <n v="1"/>
    <n v="8.0000000000000004E-4"/>
    <n v="1"/>
    <n v="37.5"/>
    <n v="37.5"/>
    <n v="0"/>
    <n v="0"/>
    <n v="150"/>
    <m/>
    <n v="375"/>
  </r>
  <r>
    <x v="0"/>
    <x v="15"/>
    <x v="0"/>
    <s v="1.3. Playfields"/>
    <s v="Equipment"/>
    <x v="10"/>
    <s v="Maintenance"/>
    <x v="3"/>
    <n v="2"/>
    <n v="0"/>
    <s v="Each"/>
    <n v="1"/>
    <n v="4"/>
    <n v="1"/>
    <n v="37.5"/>
    <n v="37.5"/>
    <n v="0"/>
    <n v="0"/>
    <n v="0"/>
    <m/>
    <n v="75"/>
  </r>
  <r>
    <x v="0"/>
    <x v="16"/>
    <x v="0"/>
    <s v="1.3. Playfields"/>
    <s v="Surface"/>
    <x v="11"/>
    <s v="Maintenance"/>
    <x v="4"/>
    <n v="12"/>
    <n v="0"/>
    <s v="Each"/>
    <n v="1"/>
    <n v="6"/>
    <n v="1"/>
    <n v="37.5"/>
    <n v="37.5"/>
    <n v="0"/>
    <n v="25"/>
    <n v="150"/>
    <m/>
    <n v="2550"/>
  </r>
  <r>
    <x v="0"/>
    <x v="17"/>
    <x v="0"/>
    <s v="1.3. Playfields"/>
    <s v="Surface"/>
    <x v="12"/>
    <s v="Maintenance"/>
    <x v="5"/>
    <n v="4"/>
    <n v="0"/>
    <s v="m² "/>
    <n v="1"/>
    <n v="8.0000000000000004E-4"/>
    <n v="1"/>
    <n v="37.5"/>
    <n v="37.5"/>
    <n v="0"/>
    <n v="0"/>
    <n v="0"/>
    <m/>
    <n v="150"/>
  </r>
  <r>
    <x v="0"/>
    <x v="18"/>
    <x v="0"/>
    <s v="1.3. Playfields"/>
    <s v="TBD"/>
    <x v="4"/>
    <s v="N/A"/>
    <x v="2"/>
    <n v="0"/>
    <n v="0"/>
    <s v=""/>
    <m/>
    <m/>
    <n v="0"/>
    <n v="37.5"/>
    <n v="0"/>
    <n v="0"/>
    <n v="0"/>
    <n v="0"/>
    <m/>
    <n v="0"/>
  </r>
  <r>
    <x v="0"/>
    <x v="19"/>
    <x v="0"/>
    <s v="1.3. Playfields"/>
    <s v="TBD"/>
    <x v="4"/>
    <s v="N/A"/>
    <x v="2"/>
    <n v="0"/>
    <n v="0"/>
    <s v=""/>
    <m/>
    <m/>
    <n v="0"/>
    <n v="37.5"/>
    <n v="0"/>
    <n v="0"/>
    <n v="0"/>
    <n v="0"/>
    <m/>
    <n v="0"/>
  </r>
  <r>
    <x v="0"/>
    <x v="20"/>
    <x v="0"/>
    <s v="1.4. Playgrounds"/>
    <s v="Equipment"/>
    <x v="12"/>
    <s v="Maintenance"/>
    <x v="5"/>
    <n v="4"/>
    <n v="0"/>
    <s v="Each"/>
    <n v="1"/>
    <n v="4"/>
    <n v="1"/>
    <n v="37.5"/>
    <n v="37.5"/>
    <n v="0"/>
    <n v="0"/>
    <n v="0"/>
    <m/>
    <n v="150"/>
  </r>
  <r>
    <x v="0"/>
    <x v="21"/>
    <x v="0"/>
    <s v="1.4. Playgrounds"/>
    <s v="Equipment"/>
    <x v="13"/>
    <s v="Maintenance"/>
    <x v="2"/>
    <n v="2"/>
    <n v="0"/>
    <s v="Each"/>
    <n v="1"/>
    <n v="4"/>
    <n v="1"/>
    <n v="37.5"/>
    <n v="37.5"/>
    <n v="0"/>
    <n v="0"/>
    <n v="0"/>
    <m/>
    <n v="75"/>
  </r>
  <r>
    <x v="0"/>
    <x v="22"/>
    <x v="0"/>
    <s v="1.4. Playgrounds"/>
    <s v="Play Surface"/>
    <x v="14"/>
    <s v="Maintenance"/>
    <x v="0"/>
    <n v="1"/>
    <n v="0"/>
    <s v="m² "/>
    <n v="1"/>
    <n v="6.4000000000000003E-3"/>
    <n v="1"/>
    <n v="37.5"/>
    <n v="37.5"/>
    <n v="0"/>
    <n v="0"/>
    <n v="2000"/>
    <m/>
    <n v="2037.5"/>
  </r>
  <r>
    <x v="0"/>
    <x v="23"/>
    <x v="0"/>
    <s v="1.4. Playgrounds"/>
    <s v="Play Surface"/>
    <x v="15"/>
    <s v="Maintenance"/>
    <x v="0"/>
    <n v="1"/>
    <n v="0"/>
    <s v="m² "/>
    <n v="1"/>
    <n v="3.2000000000000002E-3"/>
    <n v="1"/>
    <n v="37.5"/>
    <n v="37.5"/>
    <n v="0"/>
    <n v="0"/>
    <n v="0"/>
    <m/>
    <n v="37.5"/>
  </r>
  <r>
    <x v="0"/>
    <x v="24"/>
    <x v="0"/>
    <s v="1.4. Playgrounds"/>
    <s v="TBD"/>
    <x v="4"/>
    <s v="N/A"/>
    <x v="2"/>
    <n v="0"/>
    <n v="0"/>
    <s v=""/>
    <m/>
    <m/>
    <n v="0"/>
    <n v="37.5"/>
    <n v="0"/>
    <n v="0"/>
    <n v="0"/>
    <n v="0"/>
    <m/>
    <n v="0"/>
  </r>
  <r>
    <x v="0"/>
    <x v="25"/>
    <x v="0"/>
    <s v="1.4. Playgrounds"/>
    <s v="TBD"/>
    <x v="4"/>
    <s v="N/A"/>
    <x v="2"/>
    <n v="0"/>
    <n v="0"/>
    <s v=""/>
    <m/>
    <m/>
    <n v="0"/>
    <n v="37.5"/>
    <n v="0"/>
    <n v="0"/>
    <n v="0"/>
    <n v="0"/>
    <m/>
    <n v="0"/>
  </r>
  <r>
    <x v="0"/>
    <x v="26"/>
    <x v="0"/>
    <s v="1.5. Retaining Walls"/>
    <s v="Concrete / Concrete Block"/>
    <x v="16"/>
    <s v="Maintenance"/>
    <x v="0"/>
    <n v="0"/>
    <n v="0"/>
    <s v="m"/>
    <n v="1"/>
    <n v="0.08"/>
    <n v="1"/>
    <n v="37.5"/>
    <n v="37.5"/>
    <n v="0"/>
    <n v="50"/>
    <n v="15"/>
    <m/>
    <n v="0"/>
  </r>
  <r>
    <x v="0"/>
    <x v="27"/>
    <x v="0"/>
    <s v="1.5. Retaining Walls"/>
    <s v="Concrete / Concrete Block"/>
    <x v="17"/>
    <s v="Maintenance"/>
    <x v="0"/>
    <n v="0"/>
    <n v="0"/>
    <s v="m"/>
    <n v="1"/>
    <n v="0.02"/>
    <n v="1"/>
    <n v="37.5"/>
    <n v="37.5"/>
    <n v="0"/>
    <n v="0"/>
    <n v="0"/>
    <m/>
    <n v="0"/>
  </r>
  <r>
    <x v="0"/>
    <x v="28"/>
    <x v="0"/>
    <s v="1.5. Retaining Walls"/>
    <s v="Wood"/>
    <x v="18"/>
    <s v="Capital"/>
    <x v="2"/>
    <n v="0"/>
    <n v="0"/>
    <s v="Each"/>
    <n v="1"/>
    <n v="0.48"/>
    <n v="1"/>
    <n v="37.5"/>
    <n v="37.5"/>
    <n v="0"/>
    <n v="50"/>
    <n v="1000"/>
    <m/>
    <n v="0"/>
  </r>
  <r>
    <x v="0"/>
    <x v="29"/>
    <x v="0"/>
    <s v="1.5. Retaining Walls"/>
    <s v="TBD"/>
    <x v="4"/>
    <s v="N/A"/>
    <x v="2"/>
    <n v="0"/>
    <n v="0"/>
    <s v=""/>
    <m/>
    <m/>
    <n v="0"/>
    <n v="37.5"/>
    <n v="0"/>
    <n v="0"/>
    <n v="0"/>
    <n v="0"/>
    <m/>
    <n v="0"/>
  </r>
  <r>
    <x v="0"/>
    <x v="30"/>
    <x v="0"/>
    <s v="1.5. Retaining Walls"/>
    <s v="TBD"/>
    <x v="4"/>
    <s v="N/A"/>
    <x v="2"/>
    <n v="0"/>
    <n v="0"/>
    <s v=""/>
    <m/>
    <m/>
    <n v="0"/>
    <n v="37.5"/>
    <n v="0"/>
    <n v="0"/>
    <n v="0"/>
    <n v="0"/>
    <m/>
    <n v="0"/>
  </r>
  <r>
    <x v="0"/>
    <x v="31"/>
    <x v="0"/>
    <s v="1.5. Retaining Walls"/>
    <s v="TBD"/>
    <x v="4"/>
    <s v="N/A"/>
    <x v="2"/>
    <n v="0"/>
    <n v="0"/>
    <s v=""/>
    <m/>
    <m/>
    <n v="0"/>
    <n v="37.5"/>
    <n v="0"/>
    <n v="0"/>
    <n v="0"/>
    <n v="0"/>
    <m/>
    <n v="0"/>
  </r>
  <r>
    <x v="0"/>
    <x v="32"/>
    <x v="0"/>
    <s v="1.6. Sidewalks"/>
    <s v="Concrete"/>
    <x v="16"/>
    <s v="Maintenance"/>
    <x v="3"/>
    <n v="2"/>
    <n v="0"/>
    <s v="m² "/>
    <n v="1"/>
    <n v="0.08"/>
    <n v="1"/>
    <n v="37.5"/>
    <n v="37.5"/>
    <n v="0"/>
    <n v="15"/>
    <n v="15"/>
    <m/>
    <n v="135"/>
  </r>
  <r>
    <x v="0"/>
    <x v="33"/>
    <x v="0"/>
    <s v="1.6. Sidewalks"/>
    <s v="Concrete"/>
    <x v="19"/>
    <s v="Maintenance"/>
    <x v="5"/>
    <n v="4"/>
    <n v="0"/>
    <s v="m² "/>
    <n v="1"/>
    <n v="0.02"/>
    <n v="1"/>
    <n v="37.5"/>
    <n v="37.5"/>
    <n v="0"/>
    <n v="0"/>
    <n v="0"/>
    <m/>
    <n v="150"/>
  </r>
  <r>
    <x v="0"/>
    <x v="34"/>
    <x v="0"/>
    <s v="1.6. Sidewalks"/>
    <s v="Gravel"/>
    <x v="20"/>
    <s v="Maintenance"/>
    <x v="3"/>
    <n v="2"/>
    <n v="0"/>
    <s v="m² "/>
    <n v="1"/>
    <n v="0.04"/>
    <n v="1"/>
    <n v="37.5"/>
    <n v="37.5"/>
    <n v="0"/>
    <m/>
    <n v="150"/>
    <m/>
    <n v="375"/>
  </r>
  <r>
    <x v="0"/>
    <x v="35"/>
    <x v="0"/>
    <s v="1.6. Sidewalks"/>
    <s v="General"/>
    <x v="21"/>
    <s v="Maintenance"/>
    <x v="2"/>
    <n v="6"/>
    <n v="0"/>
    <s v="m² "/>
    <n v="1"/>
    <n v="0.03"/>
    <n v="1"/>
    <n v="37.5"/>
    <n v="37.5"/>
    <n v="0"/>
    <n v="5"/>
    <n v="20"/>
    <m/>
    <n v="375"/>
  </r>
  <r>
    <x v="0"/>
    <x v="36"/>
    <x v="0"/>
    <s v="1.6. Sidewalks"/>
    <s v="Stairs/Ramp"/>
    <x v="22"/>
    <s v="Capital"/>
    <x v="2"/>
    <n v="1"/>
    <n v="0"/>
    <s v="Each"/>
    <n v="1"/>
    <n v="48"/>
    <n v="1"/>
    <n v="37.5"/>
    <n v="37.5"/>
    <n v="0"/>
    <n v="0"/>
    <n v="15000"/>
    <m/>
    <n v="15037.5"/>
  </r>
  <r>
    <x v="0"/>
    <x v="37"/>
    <x v="0"/>
    <s v="1.6. Sidewalks"/>
    <s v="TBD"/>
    <x v="4"/>
    <s v="N/A"/>
    <x v="2"/>
    <n v="0"/>
    <n v="0"/>
    <s v=""/>
    <m/>
    <m/>
    <n v="0"/>
    <n v="37.5"/>
    <n v="0"/>
    <n v="0"/>
    <n v="0"/>
    <n v="0"/>
    <m/>
    <n v="0"/>
  </r>
  <r>
    <x v="0"/>
    <x v="38"/>
    <x v="0"/>
    <s v="1.7. Fencing"/>
    <s v="Wood Fencing"/>
    <x v="23"/>
    <s v="Maintenance"/>
    <x v="6"/>
    <n v="0.2"/>
    <n v="0"/>
    <s v="m"/>
    <n v="1"/>
    <n v="0.32"/>
    <n v="1"/>
    <n v="37.5"/>
    <n v="37.5"/>
    <n v="0"/>
    <n v="50"/>
    <n v="500"/>
    <m/>
    <n v="117.5"/>
  </r>
  <r>
    <x v="0"/>
    <x v="39"/>
    <x v="0"/>
    <s v="1.7. Fencing"/>
    <s v="General"/>
    <x v="24"/>
    <s v="Maintenance"/>
    <x v="2"/>
    <n v="1"/>
    <n v="0"/>
    <s v="m"/>
    <n v="1"/>
    <n v="0.08"/>
    <n v="1"/>
    <n v="37.5"/>
    <n v="37.5"/>
    <n v="0"/>
    <n v="0"/>
    <n v="250"/>
    <m/>
    <n v="287.5"/>
  </r>
  <r>
    <x v="0"/>
    <x v="40"/>
    <x v="0"/>
    <s v="1.7. Fencing"/>
    <s v="TBD"/>
    <x v="4"/>
    <s v="N/A"/>
    <x v="2"/>
    <n v="0"/>
    <n v="0"/>
    <s v=""/>
    <m/>
    <m/>
    <n v="0"/>
    <n v="37.5"/>
    <n v="0"/>
    <n v="0"/>
    <n v="0"/>
    <n v="0"/>
    <m/>
    <n v="0"/>
  </r>
  <r>
    <x v="0"/>
    <x v="41"/>
    <x v="0"/>
    <s v="1.7. Fencing"/>
    <s v="TBD"/>
    <x v="4"/>
    <s v="N/A"/>
    <x v="2"/>
    <n v="0"/>
    <n v="0"/>
    <s v=""/>
    <m/>
    <m/>
    <n v="0"/>
    <n v="37.5"/>
    <n v="0"/>
    <n v="0"/>
    <n v="0"/>
    <n v="0"/>
    <m/>
    <n v="0"/>
  </r>
  <r>
    <x v="0"/>
    <x v="42"/>
    <x v="0"/>
    <s v="1.7. Fencing"/>
    <s v="TBD"/>
    <x v="4"/>
    <s v="N/A"/>
    <x v="2"/>
    <n v="0"/>
    <n v="0"/>
    <s v=""/>
    <m/>
    <m/>
    <n v="0"/>
    <n v="37.5"/>
    <n v="0"/>
    <n v="0"/>
    <n v="0"/>
    <n v="0"/>
    <m/>
    <n v="0"/>
  </r>
  <r>
    <x v="0"/>
    <x v="43"/>
    <x v="0"/>
    <s v="1.7. Fencing"/>
    <s v="TBD"/>
    <x v="4"/>
    <s v="N/A"/>
    <x v="2"/>
    <n v="0"/>
    <n v="0"/>
    <s v=""/>
    <m/>
    <m/>
    <n v="0"/>
    <n v="37.5"/>
    <n v="0"/>
    <n v="0"/>
    <n v="0"/>
    <n v="0"/>
    <m/>
    <n v="0"/>
  </r>
  <r>
    <x v="0"/>
    <x v="44"/>
    <x v="0"/>
    <s v="1.8. Parking"/>
    <s v="Asphalt "/>
    <x v="25"/>
    <s v="Maintenance"/>
    <x v="6"/>
    <n v="0.2"/>
    <n v="0"/>
    <s v="m² "/>
    <n v="1"/>
    <n v="6.0000000000000001E-3"/>
    <n v="1"/>
    <n v="37.5"/>
    <n v="37.5"/>
    <n v="0"/>
    <n v="0"/>
    <n v="0"/>
    <m/>
    <n v="7.5"/>
  </r>
  <r>
    <x v="0"/>
    <x v="45"/>
    <x v="0"/>
    <s v="1.8. Parking"/>
    <s v="TBD"/>
    <x v="4"/>
    <s v="N/A"/>
    <x v="2"/>
    <n v="0"/>
    <n v="0"/>
    <s v=""/>
    <m/>
    <m/>
    <n v="0"/>
    <n v="37.5"/>
    <n v="0"/>
    <n v="0"/>
    <n v="0"/>
    <n v="0"/>
    <m/>
    <n v="0"/>
  </r>
  <r>
    <x v="0"/>
    <x v="46"/>
    <x v="0"/>
    <s v="1.8. Parking"/>
    <s v="Asphalt"/>
    <x v="26"/>
    <s v="Maintenance"/>
    <x v="6"/>
    <n v="0.2"/>
    <n v="0"/>
    <s v="m² "/>
    <n v="1"/>
    <n v="4.0000000000000001E-3"/>
    <n v="1"/>
    <n v="37.5"/>
    <n v="37.5"/>
    <n v="0"/>
    <n v="0"/>
    <n v="0"/>
    <m/>
    <n v="7.5"/>
  </r>
  <r>
    <x v="0"/>
    <x v="47"/>
    <x v="0"/>
    <s v="1.8. Parking"/>
    <s v="Asphalt"/>
    <x v="27"/>
    <s v="Maintenance"/>
    <x v="3"/>
    <n v="2"/>
    <n v="0"/>
    <s v="m² "/>
    <n v="1"/>
    <n v="8.0000000000000002E-3"/>
    <n v="1"/>
    <n v="37.5"/>
    <n v="37.5"/>
    <n v="0"/>
    <n v="0"/>
    <n v="0"/>
    <m/>
    <n v="75"/>
  </r>
  <r>
    <x v="0"/>
    <x v="48"/>
    <x v="0"/>
    <s v="1.8. Parking"/>
    <s v="Asphalt"/>
    <x v="28"/>
    <s v="Maintenance"/>
    <x v="2"/>
    <n v="1"/>
    <n v="0"/>
    <s v="m² "/>
    <n v="1"/>
    <n v="4.0000000000000001E-3"/>
    <n v="1"/>
    <n v="37.5"/>
    <n v="37.5"/>
    <n v="0"/>
    <n v="0"/>
    <n v="0"/>
    <m/>
    <n v="37.5"/>
  </r>
  <r>
    <x v="0"/>
    <x v="49"/>
    <x v="0"/>
    <s v="1.8. Parking"/>
    <s v="Gravel"/>
    <x v="29"/>
    <s v="Maintenance"/>
    <x v="3"/>
    <n v="2"/>
    <n v="0"/>
    <s v="m² "/>
    <n v="1"/>
    <n v="4.0000000000000001E-3"/>
    <n v="1"/>
    <n v="37.5"/>
    <n v="37.5"/>
    <n v="0"/>
    <n v="50"/>
    <n v="0"/>
    <m/>
    <n v="175"/>
  </r>
  <r>
    <x v="0"/>
    <x v="50"/>
    <x v="0"/>
    <s v="1.8. Parking"/>
    <s v="Gravel"/>
    <x v="30"/>
    <s v="Maintenance"/>
    <x v="3"/>
    <n v="2"/>
    <n v="0"/>
    <s v="m² "/>
    <n v="1"/>
    <n v="8.0000000000000002E-3"/>
    <n v="1"/>
    <n v="37.5"/>
    <n v="37.5"/>
    <n v="0"/>
    <n v="0"/>
    <n v="0"/>
    <m/>
    <n v="75"/>
  </r>
  <r>
    <x v="0"/>
    <x v="51"/>
    <x v="0"/>
    <s v="1.8. Parking"/>
    <s v="Gravel"/>
    <x v="31"/>
    <s v="Maintenance"/>
    <x v="0"/>
    <n v="1"/>
    <n v="0"/>
    <s v="m² "/>
    <n v="1"/>
    <n v="4.0000000000000001E-3"/>
    <n v="1"/>
    <n v="37.5"/>
    <n v="37.5"/>
    <n v="0"/>
    <n v="0"/>
    <n v="0"/>
    <m/>
    <n v="37.5"/>
  </r>
  <r>
    <x v="0"/>
    <x v="52"/>
    <x v="0"/>
    <s v="1.8. Parking"/>
    <s v="General"/>
    <x v="32"/>
    <s v="Maintenance"/>
    <x v="2"/>
    <n v="4"/>
    <n v="0"/>
    <s v="m² "/>
    <n v="1"/>
    <n v="4.0000000000000001E-3"/>
    <n v="1"/>
    <n v="37.5"/>
    <n v="37.5"/>
    <n v="0"/>
    <n v="0"/>
    <n v="20"/>
    <m/>
    <n v="230"/>
  </r>
  <r>
    <x v="0"/>
    <x v="53"/>
    <x v="0"/>
    <s v="1.8. Parking"/>
    <s v="TBD"/>
    <x v="4"/>
    <s v="N/A"/>
    <x v="2"/>
    <n v="2"/>
    <n v="0"/>
    <s v=""/>
    <m/>
    <m/>
    <n v="0"/>
    <n v="37.5"/>
    <n v="0"/>
    <n v="0"/>
    <n v="0"/>
    <n v="0"/>
    <m/>
    <n v="0"/>
  </r>
  <r>
    <x v="0"/>
    <x v="54"/>
    <x v="0"/>
    <s v="1.9. Other"/>
    <s v="Consultant"/>
    <x v="33"/>
    <s v="Capital"/>
    <x v="2"/>
    <n v="0.2"/>
    <n v="0"/>
    <s v="Each"/>
    <n v="1"/>
    <n v="4"/>
    <n v="1"/>
    <n v="37.5"/>
    <n v="37.5"/>
    <n v="2000"/>
    <n v="0"/>
    <n v="0"/>
    <m/>
    <n v="407.5"/>
  </r>
  <r>
    <x v="0"/>
    <x v="55"/>
    <x v="0"/>
    <s v="1.9. Other"/>
    <s v="Drainage"/>
    <x v="34"/>
    <s v="Maintenance"/>
    <x v="7"/>
    <n v="0.33333333333333331"/>
    <n v="0"/>
    <s v="Each"/>
    <n v="1"/>
    <n v="1"/>
    <n v="1"/>
    <n v="37.5"/>
    <n v="37.5"/>
    <n v="0"/>
    <n v="0"/>
    <n v="0"/>
    <m/>
    <n v="12.5"/>
  </r>
  <r>
    <x v="0"/>
    <x v="56"/>
    <x v="0"/>
    <s v="1.9. Other"/>
    <s v="Curbs"/>
    <x v="35"/>
    <s v="Maintenance"/>
    <x v="2"/>
    <n v="1"/>
    <n v="0"/>
    <s v="m"/>
    <n v="1"/>
    <n v="0.08"/>
    <n v="1"/>
    <n v="37.5"/>
    <n v="37.5"/>
    <n v="0"/>
    <n v="0"/>
    <n v="200"/>
    <m/>
    <n v="237.5"/>
  </r>
  <r>
    <x v="0"/>
    <x v="57"/>
    <x v="0"/>
    <s v="1.9. Other"/>
    <s v="TBD"/>
    <x v="4"/>
    <s v="N/A"/>
    <x v="2"/>
    <n v="0"/>
    <n v="0"/>
    <s v=""/>
    <m/>
    <m/>
    <n v="0"/>
    <n v="37.5"/>
    <n v="0"/>
    <n v="0"/>
    <n v="0"/>
    <n v="0"/>
    <m/>
    <n v="0"/>
  </r>
  <r>
    <x v="0"/>
    <x v="58"/>
    <x v="0"/>
    <s v="1.9. Other"/>
    <s v="TBD"/>
    <x v="4"/>
    <s v="N/A"/>
    <x v="2"/>
    <n v="0"/>
    <n v="0"/>
    <s v=""/>
    <m/>
    <m/>
    <n v="0"/>
    <n v="37.5"/>
    <n v="0"/>
    <n v="0"/>
    <n v="0"/>
    <n v="0"/>
    <m/>
    <n v="0"/>
  </r>
  <r>
    <x v="0"/>
    <x v="59"/>
    <x v="0"/>
    <s v="1.9. Other"/>
    <s v="TBD"/>
    <x v="4"/>
    <s v="N/A"/>
    <x v="2"/>
    <n v="0"/>
    <n v="0"/>
    <s v=""/>
    <m/>
    <m/>
    <n v="0"/>
    <n v="37.5"/>
    <n v="0"/>
    <n v="0"/>
    <n v="0"/>
    <n v="0"/>
    <m/>
    <n v="0"/>
  </r>
  <r>
    <x v="0"/>
    <x v="60"/>
    <x v="1"/>
    <s v="2.1. Sub-Grade"/>
    <s v="TBD"/>
    <x v="4"/>
    <s v="N/A"/>
    <x v="2"/>
    <n v="0"/>
    <n v="0"/>
    <s v=""/>
    <m/>
    <m/>
    <n v="0"/>
    <n v="37.5"/>
    <n v="0"/>
    <n v="0"/>
    <n v="0"/>
    <n v="0"/>
    <m/>
    <n v="0"/>
  </r>
  <r>
    <x v="0"/>
    <x v="61"/>
    <x v="1"/>
    <s v="2.1. Sub-Grade"/>
    <s v="TBD"/>
    <x v="4"/>
    <s v="N/A"/>
    <x v="2"/>
    <n v="0"/>
    <n v="0"/>
    <s v=""/>
    <m/>
    <m/>
    <n v="0"/>
    <n v="37.5"/>
    <n v="0"/>
    <n v="0"/>
    <n v="0"/>
    <n v="0"/>
    <m/>
    <n v="0"/>
  </r>
  <r>
    <x v="0"/>
    <x v="62"/>
    <x v="1"/>
    <s v="2.1. Sub-Grade"/>
    <s v="TBD"/>
    <x v="4"/>
    <s v="N/A"/>
    <x v="2"/>
    <n v="0"/>
    <n v="0"/>
    <s v=""/>
    <m/>
    <m/>
    <n v="0"/>
    <n v="37.5"/>
    <n v="0"/>
    <n v="0"/>
    <n v="0"/>
    <n v="0"/>
    <m/>
    <n v="0"/>
  </r>
  <r>
    <x v="0"/>
    <x v="63"/>
    <x v="1"/>
    <s v="2.1. Sub-Grade"/>
    <s v="TBD"/>
    <x v="4"/>
    <s v="N/A"/>
    <x v="2"/>
    <n v="0"/>
    <n v="0"/>
    <s v=""/>
    <m/>
    <m/>
    <n v="0"/>
    <n v="37.5"/>
    <n v="0"/>
    <n v="0"/>
    <n v="0"/>
    <n v="0"/>
    <m/>
    <n v="0"/>
  </r>
  <r>
    <x v="0"/>
    <x v="64"/>
    <x v="1"/>
    <s v="2.2. Foundations"/>
    <s v="TBD"/>
    <x v="4"/>
    <s v="N/A"/>
    <x v="2"/>
    <n v="0"/>
    <n v="0"/>
    <s v=""/>
    <m/>
    <m/>
    <n v="0"/>
    <n v="37.5"/>
    <n v="0"/>
    <n v="0"/>
    <n v="0"/>
    <n v="0"/>
    <m/>
    <n v="0"/>
  </r>
  <r>
    <x v="0"/>
    <x v="65"/>
    <x v="1"/>
    <s v="2.2. Foundations"/>
    <s v="TBD"/>
    <x v="4"/>
    <s v="N/A"/>
    <x v="2"/>
    <n v="0"/>
    <n v="0"/>
    <s v=""/>
    <m/>
    <m/>
    <n v="0"/>
    <n v="37.5"/>
    <n v="0"/>
    <n v="0"/>
    <n v="0"/>
    <n v="0"/>
    <m/>
    <n v="0"/>
  </r>
  <r>
    <x v="0"/>
    <x v="66"/>
    <x v="1"/>
    <s v="2.2. Foundations"/>
    <s v="TBD"/>
    <x v="4"/>
    <s v="N/A"/>
    <x v="2"/>
    <n v="0"/>
    <n v="0"/>
    <s v=""/>
    <m/>
    <m/>
    <n v="0"/>
    <n v="37.5"/>
    <n v="0"/>
    <n v="0"/>
    <n v="0"/>
    <n v="0"/>
    <m/>
    <n v="0"/>
  </r>
  <r>
    <x v="0"/>
    <x v="67"/>
    <x v="1"/>
    <s v="2.2. Foundations"/>
    <s v="TBD"/>
    <x v="4"/>
    <s v="N/A"/>
    <x v="2"/>
    <n v="0"/>
    <n v="0"/>
    <s v=""/>
    <m/>
    <m/>
    <n v="0"/>
    <n v="37.5"/>
    <n v="0"/>
    <n v="0"/>
    <n v="0"/>
    <n v="0"/>
    <m/>
    <n v="0"/>
  </r>
  <r>
    <x v="0"/>
    <x v="68"/>
    <x v="1"/>
    <s v="2.3. Walls"/>
    <s v="TBD"/>
    <x v="4"/>
    <s v="N/A"/>
    <x v="2"/>
    <n v="0"/>
    <n v="0"/>
    <s v=""/>
    <m/>
    <m/>
    <n v="0"/>
    <n v="37.5"/>
    <n v="0"/>
    <n v="0"/>
    <n v="0"/>
    <n v="0"/>
    <m/>
    <n v="0"/>
  </r>
  <r>
    <x v="0"/>
    <x v="69"/>
    <x v="1"/>
    <s v="2.3. Walls"/>
    <s v="TBD"/>
    <x v="4"/>
    <s v="N/A"/>
    <x v="2"/>
    <n v="0"/>
    <n v="0"/>
    <s v=""/>
    <m/>
    <m/>
    <n v="0"/>
    <n v="37.5"/>
    <n v="0"/>
    <n v="0"/>
    <n v="0"/>
    <n v="0"/>
    <m/>
    <n v="0"/>
  </r>
  <r>
    <x v="0"/>
    <x v="70"/>
    <x v="1"/>
    <s v="2.3. Walls"/>
    <s v="TBD"/>
    <x v="4"/>
    <s v="N/A"/>
    <x v="2"/>
    <n v="0"/>
    <n v="0"/>
    <s v=""/>
    <m/>
    <m/>
    <n v="0"/>
    <n v="37.5"/>
    <n v="0"/>
    <n v="0"/>
    <n v="0"/>
    <n v="0"/>
    <m/>
    <n v="0"/>
  </r>
  <r>
    <x v="0"/>
    <x v="71"/>
    <x v="1"/>
    <s v="2.3. Walls"/>
    <s v="TBD"/>
    <x v="4"/>
    <s v="N/A"/>
    <x v="2"/>
    <n v="0"/>
    <n v="0"/>
    <s v=""/>
    <m/>
    <m/>
    <n v="0"/>
    <n v="37.5"/>
    <n v="0"/>
    <n v="0"/>
    <n v="0"/>
    <n v="0"/>
    <m/>
    <n v="0"/>
  </r>
  <r>
    <x v="0"/>
    <x v="72"/>
    <x v="1"/>
    <s v="2.4. Roof"/>
    <s v="TBD"/>
    <x v="4"/>
    <s v="N/A"/>
    <x v="2"/>
    <n v="0"/>
    <n v="0"/>
    <s v=""/>
    <m/>
    <m/>
    <n v="0"/>
    <n v="37.5"/>
    <n v="0"/>
    <n v="0"/>
    <n v="0"/>
    <n v="0"/>
    <m/>
    <n v="0"/>
  </r>
  <r>
    <x v="0"/>
    <x v="73"/>
    <x v="1"/>
    <s v="2.4. Roof"/>
    <s v="TBD"/>
    <x v="4"/>
    <s v="N/A"/>
    <x v="2"/>
    <n v="0"/>
    <n v="0"/>
    <s v=""/>
    <m/>
    <m/>
    <n v="0"/>
    <n v="37.5"/>
    <n v="0"/>
    <n v="0"/>
    <n v="0"/>
    <n v="0"/>
    <m/>
    <n v="0"/>
  </r>
  <r>
    <x v="0"/>
    <x v="74"/>
    <x v="1"/>
    <s v="2.4. Roof"/>
    <s v="TBD"/>
    <x v="4"/>
    <s v="N/A"/>
    <x v="2"/>
    <n v="0"/>
    <n v="0"/>
    <s v=""/>
    <m/>
    <m/>
    <n v="0"/>
    <n v="37.5"/>
    <n v="0"/>
    <n v="0"/>
    <n v="0"/>
    <n v="0"/>
    <m/>
    <n v="0"/>
  </r>
  <r>
    <x v="0"/>
    <x v="75"/>
    <x v="1"/>
    <s v="2.4. Roof"/>
    <s v="TBD"/>
    <x v="4"/>
    <s v="N/A"/>
    <x v="2"/>
    <n v="0"/>
    <n v="0"/>
    <s v=""/>
    <m/>
    <m/>
    <n v="0"/>
    <n v="37.5"/>
    <n v="0"/>
    <n v="0"/>
    <n v="0"/>
    <n v="0"/>
    <m/>
    <n v="0"/>
  </r>
  <r>
    <x v="0"/>
    <x v="76"/>
    <x v="1"/>
    <s v="2.5. Supports"/>
    <s v="Columns / Beams"/>
    <x v="36"/>
    <s v="Maintenance"/>
    <x v="0"/>
    <n v="1"/>
    <n v="0"/>
    <s v="Each"/>
    <n v="1"/>
    <n v="0.4"/>
    <n v="1"/>
    <n v="37.5"/>
    <n v="37.5"/>
    <n v="0"/>
    <n v="0"/>
    <n v="0"/>
    <m/>
    <n v="37.5"/>
  </r>
  <r>
    <x v="0"/>
    <x v="77"/>
    <x v="1"/>
    <s v="2.5. Supports"/>
    <s v="Columns / Beams"/>
    <x v="37"/>
    <s v="Maintenance"/>
    <x v="2"/>
    <n v="2"/>
    <n v="0"/>
    <s v="Each"/>
    <n v="1"/>
    <n v="0.8"/>
    <n v="1"/>
    <n v="37.5"/>
    <n v="37.5"/>
    <n v="0"/>
    <n v="0"/>
    <n v="0"/>
    <m/>
    <n v="75"/>
  </r>
  <r>
    <x v="0"/>
    <x v="78"/>
    <x v="1"/>
    <s v="2.5. Supports"/>
    <s v="Columns / Beams"/>
    <x v="38"/>
    <s v="Capital"/>
    <x v="2"/>
    <n v="1"/>
    <n v="0"/>
    <s v="Each"/>
    <n v="1"/>
    <n v="8"/>
    <n v="1"/>
    <n v="37.5"/>
    <n v="37.5"/>
    <n v="0"/>
    <n v="350"/>
    <n v="10000"/>
    <m/>
    <n v="10387.5"/>
  </r>
  <r>
    <x v="0"/>
    <x v="79"/>
    <x v="1"/>
    <s v="2.5. Supports"/>
    <s v="TBD"/>
    <x v="4"/>
    <s v="N/A"/>
    <x v="2"/>
    <n v="0"/>
    <n v="0"/>
    <s v=""/>
    <m/>
    <m/>
    <n v="0"/>
    <n v="37.5"/>
    <n v="0"/>
    <n v="0"/>
    <n v="0"/>
    <n v="0"/>
    <m/>
    <n v="0"/>
  </r>
  <r>
    <x v="0"/>
    <x v="80"/>
    <x v="1"/>
    <s v="2.5. Supports"/>
    <s v="TBD"/>
    <x v="4"/>
    <s v="N/A"/>
    <x v="2"/>
    <n v="0"/>
    <n v="0"/>
    <s v=""/>
    <m/>
    <m/>
    <n v="0"/>
    <n v="37.5"/>
    <n v="0"/>
    <n v="0"/>
    <n v="0"/>
    <n v="0"/>
    <m/>
    <n v="0"/>
  </r>
  <r>
    <x v="0"/>
    <x v="81"/>
    <x v="1"/>
    <s v="2.5. Supports"/>
    <s v="TBD"/>
    <x v="4"/>
    <s v="N/A"/>
    <x v="2"/>
    <n v="0"/>
    <n v="0"/>
    <s v=""/>
    <m/>
    <m/>
    <n v="0"/>
    <n v="37.5"/>
    <n v="0"/>
    <n v="0"/>
    <n v="0"/>
    <n v="0"/>
    <m/>
    <n v="0"/>
  </r>
  <r>
    <x v="0"/>
    <x v="82"/>
    <x v="1"/>
    <s v="2.6. Other"/>
    <s v="Consultant"/>
    <x v="39"/>
    <s v="Capital"/>
    <x v="6"/>
    <n v="0.2"/>
    <n v="0"/>
    <s v="Each"/>
    <n v="1"/>
    <n v="6"/>
    <n v="1"/>
    <n v="37.5"/>
    <n v="37.5"/>
    <n v="2500"/>
    <n v="0"/>
    <n v="0"/>
    <m/>
    <n v="507.5"/>
  </r>
  <r>
    <x v="0"/>
    <x v="83"/>
    <x v="1"/>
    <s v="2.6. Other"/>
    <s v="TBD"/>
    <x v="4"/>
    <s v="N/A"/>
    <x v="2"/>
    <n v="0"/>
    <n v="0"/>
    <s v=""/>
    <m/>
    <m/>
    <n v="0"/>
    <n v="37.5"/>
    <n v="0"/>
    <n v="0"/>
    <n v="0"/>
    <n v="0"/>
    <m/>
    <n v="0"/>
  </r>
  <r>
    <x v="0"/>
    <x v="84"/>
    <x v="1"/>
    <s v="2.6. Other"/>
    <s v="TBD"/>
    <x v="4"/>
    <s v="N/A"/>
    <x v="2"/>
    <n v="0"/>
    <n v="0"/>
    <s v=""/>
    <m/>
    <m/>
    <n v="0"/>
    <n v="37.5"/>
    <n v="0"/>
    <n v="0"/>
    <n v="0"/>
    <n v="0"/>
    <m/>
    <n v="0"/>
  </r>
  <r>
    <x v="0"/>
    <x v="85"/>
    <x v="1"/>
    <s v="2.6. Other"/>
    <s v="TBD"/>
    <x v="4"/>
    <s v="N/A"/>
    <x v="2"/>
    <n v="0"/>
    <n v="0"/>
    <s v=""/>
    <m/>
    <m/>
    <n v="0"/>
    <n v="37.5"/>
    <n v="0"/>
    <n v="0"/>
    <n v="0"/>
    <n v="0"/>
    <m/>
    <n v="0"/>
  </r>
  <r>
    <x v="0"/>
    <x v="86"/>
    <x v="2"/>
    <s v="3.1. Roofing"/>
    <s v="Asphalt Shingles"/>
    <x v="40"/>
    <s v="Capital"/>
    <x v="8"/>
    <n v="0.04"/>
    <n v="0"/>
    <s v="m² "/>
    <n v="1"/>
    <n v="8.0000000000000002E-3"/>
    <n v="1"/>
    <n v="37.5"/>
    <n v="37.5"/>
    <n v="0"/>
    <n v="0"/>
    <n v="0"/>
    <m/>
    <n v="1.5"/>
  </r>
  <r>
    <x v="0"/>
    <x v="87"/>
    <x v="2"/>
    <s v="3.1. Roofing"/>
    <s v="TBD"/>
    <x v="4"/>
    <s v="N/A"/>
    <x v="2"/>
    <n v="0"/>
    <n v="0"/>
    <s v=""/>
    <m/>
    <m/>
    <n v="0"/>
    <n v="37.5"/>
    <n v="0"/>
    <n v="0"/>
    <n v="0"/>
    <n v="0"/>
    <m/>
    <n v="0"/>
  </r>
  <r>
    <x v="0"/>
    <x v="88"/>
    <x v="2"/>
    <s v="3.1. Roofing"/>
    <s v="TBD"/>
    <x v="4"/>
    <s v="N/A"/>
    <x v="2"/>
    <n v="0"/>
    <n v="0"/>
    <s v=""/>
    <m/>
    <m/>
    <n v="0"/>
    <n v="37.5"/>
    <n v="0"/>
    <n v="0"/>
    <n v="0"/>
    <n v="0"/>
    <m/>
    <n v="0"/>
  </r>
  <r>
    <x v="0"/>
    <x v="89"/>
    <x v="2"/>
    <s v="3.1. Roofing"/>
    <s v="TBD"/>
    <x v="4"/>
    <s v="N/A"/>
    <x v="2"/>
    <n v="0"/>
    <n v="0"/>
    <s v=""/>
    <m/>
    <m/>
    <n v="0"/>
    <n v="37.5"/>
    <n v="0"/>
    <n v="0"/>
    <n v="0"/>
    <n v="0"/>
    <m/>
    <n v="0"/>
  </r>
  <r>
    <x v="0"/>
    <x v="90"/>
    <x v="2"/>
    <s v="3.1. Roofing"/>
    <s v="TBD"/>
    <x v="4"/>
    <s v="N/A"/>
    <x v="2"/>
    <n v="0"/>
    <n v="0"/>
    <s v=""/>
    <m/>
    <m/>
    <n v="0"/>
    <n v="37.5"/>
    <n v="0"/>
    <n v="0"/>
    <n v="0"/>
    <n v="0"/>
    <m/>
    <n v="0"/>
  </r>
  <r>
    <x v="0"/>
    <x v="91"/>
    <x v="2"/>
    <s v="3.1. Roofing"/>
    <s v="Roll Roofing &amp; Flashings"/>
    <x v="41"/>
    <s v="Capital"/>
    <x v="9"/>
    <n v="2.5000000000000001E-2"/>
    <n v="0"/>
    <s v="m² "/>
    <n v="1"/>
    <n v="8.0000000000000002E-3"/>
    <n v="1"/>
    <n v="37.5"/>
    <n v="37.5"/>
    <n v="0"/>
    <n v="0"/>
    <n v="1200"/>
    <m/>
    <n v="30.9375"/>
  </r>
  <r>
    <x v="0"/>
    <x v="92"/>
    <x v="2"/>
    <s v="3.1. Roofing"/>
    <s v="Sheet Metal &amp; Flashings"/>
    <x v="41"/>
    <s v="Capital"/>
    <x v="9"/>
    <n v="2.5000000000000001E-2"/>
    <n v="0"/>
    <s v="m² "/>
    <n v="1"/>
    <n v="8.0000000000000002E-3"/>
    <n v="1"/>
    <n v="37.5"/>
    <n v="37.5"/>
    <n v="0"/>
    <n v="0"/>
    <n v="400"/>
    <m/>
    <n v="10.9375"/>
  </r>
  <r>
    <x v="0"/>
    <x v="93"/>
    <x v="2"/>
    <s v="3.1. Roofing"/>
    <s v="Deck Membranes"/>
    <x v="42"/>
    <s v="Capital"/>
    <x v="8"/>
    <n v="0.04"/>
    <n v="0"/>
    <s v="m² "/>
    <n v="1"/>
    <n v="0.04"/>
    <n v="1"/>
    <n v="37.5"/>
    <n v="37.5"/>
    <n v="0"/>
    <n v="0"/>
    <n v="0"/>
    <m/>
    <n v="1.5"/>
  </r>
  <r>
    <x v="0"/>
    <x v="94"/>
    <x v="2"/>
    <s v="3.1. Roofing"/>
    <s v="General"/>
    <x v="43"/>
    <s v="Maintenance"/>
    <x v="0"/>
    <n v="1"/>
    <n v="0"/>
    <s v="m² "/>
    <n v="1"/>
    <n v="1.2E-2"/>
    <n v="1"/>
    <n v="37.5"/>
    <n v="37.5"/>
    <n v="0"/>
    <n v="0"/>
    <n v="0"/>
    <m/>
    <n v="37.5"/>
  </r>
  <r>
    <x v="0"/>
    <x v="95"/>
    <x v="2"/>
    <s v="3.1. Roofing"/>
    <s v="General"/>
    <x v="44"/>
    <s v="Maintenance"/>
    <x v="2"/>
    <n v="4"/>
    <n v="0"/>
    <s v="m² "/>
    <n v="1"/>
    <n v="4.0000000000000001E-3"/>
    <n v="1"/>
    <n v="37.5"/>
    <n v="37.5"/>
    <n v="0"/>
    <n v="0"/>
    <n v="0"/>
    <m/>
    <n v="150"/>
  </r>
  <r>
    <x v="0"/>
    <x v="96"/>
    <x v="2"/>
    <s v="3.1. Roofing"/>
    <s v="General"/>
    <x v="45"/>
    <s v="Maintenance"/>
    <x v="2"/>
    <n v="1"/>
    <n v="0"/>
    <s v="m² "/>
    <n v="1"/>
    <n v="0.01"/>
    <n v="1"/>
    <n v="37.5"/>
    <n v="37.5"/>
    <n v="0"/>
    <n v="0"/>
    <n v="100"/>
    <m/>
    <n v="137.5"/>
  </r>
  <r>
    <x v="0"/>
    <x v="97"/>
    <x v="2"/>
    <s v="3.1. Roofing"/>
    <s v="Gutters &amp; Downspouts"/>
    <x v="46"/>
    <s v="Maintenance"/>
    <x v="3"/>
    <n v="2"/>
    <n v="0"/>
    <s v="m² "/>
    <n v="1"/>
    <n v="0.01"/>
    <n v="1"/>
    <n v="37.5"/>
    <n v="37.5"/>
    <n v="0"/>
    <n v="400"/>
    <n v="0"/>
    <m/>
    <n v="875"/>
  </r>
  <r>
    <x v="0"/>
    <x v="98"/>
    <x v="2"/>
    <s v="3.1. Roofing"/>
    <s v="Deck Membranes"/>
    <x v="47"/>
    <s v="Maintenance"/>
    <x v="3"/>
    <n v="2"/>
    <n v="0"/>
    <s v="m² "/>
    <n v="1"/>
    <n v="0.04"/>
    <n v="1"/>
    <n v="37.5"/>
    <n v="37.5"/>
    <n v="0"/>
    <n v="25"/>
    <n v="0"/>
    <m/>
    <n v="125"/>
  </r>
  <r>
    <x v="0"/>
    <x v="99"/>
    <x v="2"/>
    <s v="3.2. Cladding"/>
    <s v="Vinyl Siding &amp; Trim"/>
    <x v="48"/>
    <s v="Capital"/>
    <x v="8"/>
    <n v="0.04"/>
    <n v="0"/>
    <s v="m² "/>
    <n v="1"/>
    <n v="0.04"/>
    <n v="1"/>
    <n v="37.5"/>
    <n v="37.5"/>
    <n v="0"/>
    <n v="0"/>
    <n v="0"/>
    <m/>
    <n v="1.5"/>
  </r>
  <r>
    <x v="0"/>
    <x v="100"/>
    <x v="2"/>
    <s v="3.2. Cladding"/>
    <s v="TBD"/>
    <x v="4"/>
    <s v="N/A"/>
    <x v="2"/>
    <n v="0"/>
    <n v="0"/>
    <s v=""/>
    <m/>
    <m/>
    <n v="0"/>
    <n v="37.5"/>
    <n v="0"/>
    <n v="0"/>
    <n v="0"/>
    <n v="0"/>
    <m/>
    <n v="0"/>
  </r>
  <r>
    <x v="0"/>
    <x v="101"/>
    <x v="2"/>
    <s v="3.2. Cladding"/>
    <s v="TBD"/>
    <x v="4"/>
    <s v="N/A"/>
    <x v="2"/>
    <n v="0"/>
    <n v="0"/>
    <s v=""/>
    <m/>
    <m/>
    <n v="0"/>
    <n v="37.5"/>
    <n v="0"/>
    <n v="0"/>
    <n v="0"/>
    <n v="0"/>
    <m/>
    <n v="0"/>
  </r>
  <r>
    <x v="0"/>
    <x v="102"/>
    <x v="2"/>
    <s v="3.2. Cladding"/>
    <s v="TBD"/>
    <x v="4"/>
    <s v="N/A"/>
    <x v="2"/>
    <n v="0"/>
    <n v="0"/>
    <s v=""/>
    <m/>
    <m/>
    <n v="0"/>
    <n v="37.5"/>
    <n v="0"/>
    <n v="0"/>
    <n v="0"/>
    <n v="0"/>
    <m/>
    <n v="0"/>
  </r>
  <r>
    <x v="0"/>
    <x v="103"/>
    <x v="2"/>
    <s v="3.2. Cladding"/>
    <s v="TBD"/>
    <x v="4"/>
    <s v="N/A"/>
    <x v="2"/>
    <n v="0"/>
    <n v="0"/>
    <s v=""/>
    <m/>
    <m/>
    <n v="0"/>
    <n v="37.5"/>
    <n v="0"/>
    <n v="0"/>
    <n v="0"/>
    <n v="0"/>
    <m/>
    <n v="0"/>
  </r>
  <r>
    <x v="0"/>
    <x v="104"/>
    <x v="2"/>
    <s v="3.2. Cladding"/>
    <s v="Wood Siding &amp; Trim"/>
    <x v="48"/>
    <s v="Capital"/>
    <x v="9"/>
    <n v="2.5000000000000001E-2"/>
    <n v="0"/>
    <s v="m² "/>
    <m/>
    <n v="0.04"/>
    <n v="0"/>
    <n v="37.5"/>
    <n v="0"/>
    <n v="0"/>
    <n v="0"/>
    <n v="2500"/>
    <m/>
    <n v="62.5"/>
  </r>
  <r>
    <x v="0"/>
    <x v="105"/>
    <x v="2"/>
    <s v="3.2. Cladding"/>
    <s v="Cementitious Siding &amp; Trim"/>
    <x v="48"/>
    <s v="Capital"/>
    <x v="9"/>
    <n v="0"/>
    <n v="0"/>
    <s v="m² "/>
    <n v="1"/>
    <n v="0.04"/>
    <n v="1"/>
    <n v="37.5"/>
    <n v="37.5"/>
    <n v="0"/>
    <n v="0"/>
    <n v="0"/>
    <m/>
    <n v="0"/>
  </r>
  <r>
    <x v="0"/>
    <x v="106"/>
    <x v="2"/>
    <s v="3.2. Cladding"/>
    <s v="Metal Cladding &amp; Trim"/>
    <x v="48"/>
    <s v="Capital"/>
    <x v="9"/>
    <n v="2.5000000000000001E-2"/>
    <n v="0"/>
    <s v="m² "/>
    <n v="1"/>
    <n v="0.04"/>
    <n v="1"/>
    <n v="37.5"/>
    <n v="37.5"/>
    <n v="0"/>
    <n v="0"/>
    <n v="0"/>
    <m/>
    <n v="0.9375"/>
  </r>
  <r>
    <x v="0"/>
    <x v="107"/>
    <x v="2"/>
    <s v="3.2. Cladding"/>
    <s v="Stucco Cladding &amp; Trim"/>
    <x v="48"/>
    <s v="Capital"/>
    <x v="9"/>
    <n v="2.5000000000000001E-2"/>
    <n v="0"/>
    <s v="m² "/>
    <n v="1"/>
    <n v="0.04"/>
    <n v="1"/>
    <n v="37.5"/>
    <n v="37.5"/>
    <n v="0"/>
    <n v="0"/>
    <n v="0"/>
    <m/>
    <n v="0.9375"/>
  </r>
  <r>
    <x v="0"/>
    <x v="108"/>
    <x v="2"/>
    <s v="3.2. Cladding"/>
    <s v="Caulking &amp; Paint"/>
    <x v="49"/>
    <s v="Capital"/>
    <x v="10"/>
    <n v="0.1"/>
    <n v="0"/>
    <s v="m² "/>
    <n v="1"/>
    <n v="3.2000000000000001E-2"/>
    <n v="1"/>
    <n v="37.5"/>
    <n v="37.5"/>
    <n v="0"/>
    <n v="0"/>
    <n v="500"/>
    <m/>
    <n v="53.75"/>
  </r>
  <r>
    <x v="0"/>
    <x v="109"/>
    <x v="2"/>
    <s v="3.2. Cladding"/>
    <s v="General"/>
    <x v="50"/>
    <s v="Maintenance"/>
    <x v="0"/>
    <n v="1"/>
    <n v="0"/>
    <s v="m² "/>
    <n v="1"/>
    <n v="0.01"/>
    <n v="1"/>
    <n v="37.5"/>
    <n v="37.5"/>
    <n v="0"/>
    <n v="0"/>
    <n v="0"/>
    <m/>
    <n v="37.5"/>
  </r>
  <r>
    <x v="0"/>
    <x v="110"/>
    <x v="2"/>
    <s v="3.2. Cladding"/>
    <s v="General"/>
    <x v="51"/>
    <s v="Maintenance"/>
    <x v="2"/>
    <n v="1"/>
    <n v="0"/>
    <s v="m² "/>
    <n v="1"/>
    <n v="1.6E-2"/>
    <n v="1"/>
    <n v="37.5"/>
    <n v="37.5"/>
    <n v="0"/>
    <n v="400"/>
    <n v="50"/>
    <m/>
    <n v="487.5"/>
  </r>
  <r>
    <x v="0"/>
    <x v="111"/>
    <x v="2"/>
    <s v="3.2. Cladding"/>
    <s v="General"/>
    <x v="52"/>
    <s v="Maintenance"/>
    <x v="2"/>
    <n v="1"/>
    <n v="0"/>
    <s v="m² "/>
    <n v="1"/>
    <n v="0.01"/>
    <n v="1"/>
    <n v="37.5"/>
    <n v="37.5"/>
    <n v="0"/>
    <n v="50"/>
    <n v="300"/>
    <m/>
    <n v="387.5"/>
  </r>
  <r>
    <x v="0"/>
    <x v="112"/>
    <x v="2"/>
    <s v="3.3. Windows"/>
    <s v="Windows &amp; Patio Doors"/>
    <x v="53"/>
    <s v="Capital"/>
    <x v="9"/>
    <n v="2.5000000000000001E-2"/>
    <n v="0"/>
    <s v="Each"/>
    <n v="1"/>
    <n v="3.2"/>
    <n v="1"/>
    <n v="37.5"/>
    <n v="37.5"/>
    <n v="0"/>
    <n v="1000"/>
    <n v="500"/>
    <m/>
    <n v="38.4375"/>
  </r>
  <r>
    <x v="0"/>
    <x v="113"/>
    <x v="2"/>
    <s v="3.3. Windows"/>
    <s v="Windows &amp; Patio Doors"/>
    <x v="54"/>
    <s v="Maintenance"/>
    <x v="0"/>
    <n v="1"/>
    <n v="0"/>
    <s v="Each"/>
    <n v="1"/>
    <n v="0.4"/>
    <n v="1"/>
    <n v="37.5"/>
    <n v="37.5"/>
    <n v="0"/>
    <n v="0"/>
    <n v="0"/>
    <m/>
    <n v="37.5"/>
  </r>
  <r>
    <x v="0"/>
    <x v="114"/>
    <x v="2"/>
    <s v="3.3. Windows"/>
    <s v="Windows &amp; Patio Doors"/>
    <x v="55"/>
    <s v="Maintenance"/>
    <x v="2"/>
    <n v="2"/>
    <n v="0"/>
    <s v="Each"/>
    <n v="1"/>
    <n v="3"/>
    <n v="1"/>
    <n v="37.5"/>
    <n v="37.5"/>
    <n v="0"/>
    <n v="0"/>
    <n v="200"/>
    <m/>
    <n v="475"/>
  </r>
  <r>
    <x v="0"/>
    <x v="115"/>
    <x v="2"/>
    <s v="3.3. Windows"/>
    <s v="Windows &amp; Patio Doors"/>
    <x v="56"/>
    <s v="Maintenance"/>
    <x v="0"/>
    <n v="1"/>
    <n v="0"/>
    <s v="Each"/>
    <n v="1"/>
    <n v="0.8"/>
    <n v="1"/>
    <n v="37.5"/>
    <n v="37.5"/>
    <n v="0"/>
    <n v="100"/>
    <n v="10"/>
    <m/>
    <n v="147.5"/>
  </r>
  <r>
    <x v="0"/>
    <x v="116"/>
    <x v="2"/>
    <s v="3.3. Windows"/>
    <s v="Windows &amp; Patio Doors"/>
    <x v="4"/>
    <s v="N/A"/>
    <x v="2"/>
    <n v="0"/>
    <n v="0"/>
    <s v=""/>
    <m/>
    <m/>
    <n v="0"/>
    <n v="37.5"/>
    <n v="0"/>
    <n v="0"/>
    <n v="0"/>
    <n v="0"/>
    <m/>
    <n v="0"/>
  </r>
  <r>
    <x v="0"/>
    <x v="117"/>
    <x v="2"/>
    <s v="3.3. Windows"/>
    <s v="Windows &amp; Patio Doors"/>
    <x v="4"/>
    <s v="N/A"/>
    <x v="2"/>
    <n v="0"/>
    <n v="0"/>
    <s v=""/>
    <m/>
    <m/>
    <n v="0"/>
    <n v="37.5"/>
    <n v="0"/>
    <n v="0"/>
    <n v="0"/>
    <n v="0"/>
    <m/>
    <n v="0"/>
  </r>
  <r>
    <x v="0"/>
    <x v="118"/>
    <x v="2"/>
    <s v="3.3. Windows"/>
    <s v="Windows &amp; Patio Doors"/>
    <x v="4"/>
    <s v="N/A"/>
    <x v="2"/>
    <n v="0"/>
    <n v="0"/>
    <s v=""/>
    <m/>
    <m/>
    <n v="0"/>
    <n v="37.5"/>
    <n v="0"/>
    <n v="0"/>
    <n v="0"/>
    <n v="0"/>
    <m/>
    <n v="0"/>
  </r>
  <r>
    <x v="0"/>
    <x v="119"/>
    <x v="2"/>
    <s v="3.4. Doors"/>
    <s v="Doors &amp; Hardware"/>
    <x v="57"/>
    <s v="Capital"/>
    <x v="9"/>
    <n v="2.5000000000000001E-2"/>
    <n v="0"/>
    <s v="Each"/>
    <n v="1"/>
    <n v="0.8"/>
    <n v="1"/>
    <n v="37.5"/>
    <n v="37.5"/>
    <n v="0"/>
    <n v="0"/>
    <n v="25000"/>
    <m/>
    <n v="625.9375"/>
  </r>
  <r>
    <x v="0"/>
    <x v="120"/>
    <x v="2"/>
    <s v="3.4. Doors"/>
    <s v="Doors &amp; Hardware"/>
    <x v="58"/>
    <s v="Maintenance"/>
    <x v="0"/>
    <n v="1"/>
    <n v="0"/>
    <s v="Each"/>
    <n v="1"/>
    <n v="0.8"/>
    <n v="1"/>
    <n v="37.5"/>
    <n v="37.5"/>
    <m/>
    <n v="0"/>
    <n v="30"/>
    <m/>
    <n v="67.5"/>
  </r>
  <r>
    <x v="0"/>
    <x v="121"/>
    <x v="2"/>
    <s v="3.4. Doors"/>
    <s v="Doors &amp; Hardware"/>
    <x v="59"/>
    <s v="Maintenance"/>
    <x v="0"/>
    <n v="1"/>
    <n v="0"/>
    <s v="Each"/>
    <n v="1"/>
    <n v="0.8"/>
    <n v="1"/>
    <n v="37.5"/>
    <n v="37.5"/>
    <n v="0"/>
    <n v="0"/>
    <n v="30"/>
    <m/>
    <n v="67.5"/>
  </r>
  <r>
    <x v="0"/>
    <x v="122"/>
    <x v="2"/>
    <s v="3.4. Doors"/>
    <s v="Doors &amp; Hardware"/>
    <x v="4"/>
    <s v="N/A"/>
    <x v="2"/>
    <n v="0"/>
    <n v="0"/>
    <s v=""/>
    <m/>
    <m/>
    <n v="0"/>
    <n v="37.5"/>
    <n v="0"/>
    <n v="0"/>
    <n v="0"/>
    <n v="0"/>
    <m/>
    <n v="0"/>
  </r>
  <r>
    <x v="0"/>
    <x v="123"/>
    <x v="2"/>
    <s v="3.4. Doors"/>
    <s v="Doors &amp; Hardware"/>
    <x v="4"/>
    <s v="N/A"/>
    <x v="2"/>
    <n v="0"/>
    <n v="0"/>
    <s v=""/>
    <m/>
    <m/>
    <n v="0"/>
    <n v="37.5"/>
    <n v="0"/>
    <n v="0"/>
    <n v="0"/>
    <n v="0"/>
    <m/>
    <n v="0"/>
  </r>
  <r>
    <x v="0"/>
    <x v="124"/>
    <x v="2"/>
    <s v="3.4. Doors"/>
    <s v="Doors &amp; Hardware"/>
    <x v="4"/>
    <s v="N/A"/>
    <x v="2"/>
    <n v="0"/>
    <n v="0"/>
    <s v=""/>
    <m/>
    <m/>
    <n v="0"/>
    <n v="37.5"/>
    <n v="0"/>
    <n v="0"/>
    <n v="0"/>
    <n v="0"/>
    <m/>
    <n v="0"/>
  </r>
  <r>
    <x v="0"/>
    <x v="125"/>
    <x v="2"/>
    <s v="3.5. Metals &amp; Features"/>
    <s v="Miscellaneous Metals"/>
    <x v="60"/>
    <s v="Maintenance"/>
    <x v="0"/>
    <n v="1"/>
    <n v="0"/>
    <s v="Each"/>
    <n v="1"/>
    <n v="2"/>
    <n v="1"/>
    <n v="37.5"/>
    <n v="37.5"/>
    <n v="0"/>
    <n v="0"/>
    <n v="50"/>
    <m/>
    <n v="87.5"/>
  </r>
  <r>
    <x v="0"/>
    <x v="126"/>
    <x v="2"/>
    <s v="3.5. Metals &amp; Features"/>
    <s v="Handrails &amp; Guardrails"/>
    <x v="61"/>
    <s v="Maintenance"/>
    <x v="6"/>
    <n v="0.2"/>
    <n v="0"/>
    <s v="m"/>
    <n v="1"/>
    <n v="0.32"/>
    <n v="1"/>
    <n v="37.5"/>
    <n v="37.5"/>
    <n v="0"/>
    <n v="0"/>
    <n v="200"/>
    <m/>
    <n v="47.5"/>
  </r>
  <r>
    <x v="0"/>
    <x v="127"/>
    <x v="2"/>
    <s v="3.5. Metals &amp; Features"/>
    <s v="Carvings"/>
    <x v="4"/>
    <s v="N/A"/>
    <x v="2"/>
    <n v="0"/>
    <n v="0"/>
    <s v=""/>
    <m/>
    <m/>
    <n v="0"/>
    <n v="37.5"/>
    <n v="0"/>
    <n v="0"/>
    <n v="0"/>
    <n v="0"/>
    <m/>
    <n v="0"/>
  </r>
  <r>
    <x v="0"/>
    <x v="128"/>
    <x v="2"/>
    <s v="3.5. Metals &amp; Features"/>
    <s v="TBD"/>
    <x v="4"/>
    <s v="N/A"/>
    <x v="2"/>
    <n v="0"/>
    <n v="0"/>
    <s v=""/>
    <m/>
    <m/>
    <n v="0"/>
    <n v="37.5"/>
    <n v="0"/>
    <n v="0"/>
    <n v="0"/>
    <n v="0"/>
    <m/>
    <n v="0"/>
  </r>
  <r>
    <x v="0"/>
    <x v="129"/>
    <x v="2"/>
    <s v="3.5. Metals &amp; Features"/>
    <s v="TBD"/>
    <x v="4"/>
    <s v="N/A"/>
    <x v="2"/>
    <n v="0"/>
    <n v="0"/>
    <s v=""/>
    <m/>
    <m/>
    <n v="0"/>
    <n v="37.5"/>
    <n v="0"/>
    <n v="0"/>
    <n v="0"/>
    <n v="0"/>
    <m/>
    <n v="0"/>
  </r>
  <r>
    <x v="0"/>
    <x v="130"/>
    <x v="2"/>
    <s v="3.5. Metals &amp; Features"/>
    <s v="TBD"/>
    <x v="4"/>
    <s v="N/A"/>
    <x v="2"/>
    <n v="0"/>
    <n v="0"/>
    <s v=""/>
    <m/>
    <m/>
    <n v="0"/>
    <n v="37.5"/>
    <n v="0"/>
    <n v="0"/>
    <n v="0"/>
    <n v="0"/>
    <m/>
    <n v="0"/>
  </r>
  <r>
    <x v="0"/>
    <x v="131"/>
    <x v="2"/>
    <s v="3.6. Other"/>
    <s v="Consultant"/>
    <x v="62"/>
    <s v="Capital"/>
    <x v="6"/>
    <n v="0.2"/>
    <n v="0"/>
    <s v="Each"/>
    <n v="1"/>
    <n v="4"/>
    <n v="1"/>
    <n v="37.5"/>
    <n v="37.5"/>
    <n v="2500"/>
    <n v="0"/>
    <n v="0"/>
    <m/>
    <n v="507.5"/>
  </r>
  <r>
    <x v="0"/>
    <x v="132"/>
    <x v="2"/>
    <s v="3.6. Other"/>
    <s v="Handrails &amp; Guardrails"/>
    <x v="63"/>
    <s v="Maintenance"/>
    <x v="6"/>
    <n v="0.2"/>
    <n v="0"/>
    <s v="m"/>
    <n v="1"/>
    <n v="0.32"/>
    <n v="1"/>
    <n v="37.5"/>
    <n v="37.5"/>
    <n v="0"/>
    <n v="0"/>
    <n v="200"/>
    <m/>
    <n v="47.5"/>
  </r>
  <r>
    <x v="0"/>
    <x v="133"/>
    <x v="2"/>
    <s v="3.6. Other"/>
    <s v="TBD"/>
    <x v="4"/>
    <s v="N/A"/>
    <x v="2"/>
    <n v="0"/>
    <n v="0"/>
    <s v=""/>
    <m/>
    <m/>
    <n v="0"/>
    <n v="37.5"/>
    <n v="0"/>
    <n v="0"/>
    <n v="0"/>
    <n v="0"/>
    <m/>
    <n v="0"/>
  </r>
  <r>
    <x v="0"/>
    <x v="134"/>
    <x v="2"/>
    <s v="3.6. Other"/>
    <s v="TBD"/>
    <x v="4"/>
    <s v="N/A"/>
    <x v="2"/>
    <n v="0"/>
    <n v="0"/>
    <s v=""/>
    <m/>
    <m/>
    <n v="0"/>
    <n v="37.5"/>
    <n v="0"/>
    <n v="0"/>
    <n v="0"/>
    <n v="0"/>
    <m/>
    <n v="0"/>
  </r>
  <r>
    <x v="0"/>
    <x v="135"/>
    <x v="3"/>
    <s v="4.1. Floors"/>
    <s v="Floor Finish"/>
    <x v="64"/>
    <s v="Capital"/>
    <x v="9"/>
    <n v="2.5000000000000001E-2"/>
    <n v="0"/>
    <s v="m² "/>
    <n v="1"/>
    <n v="3.2000000000000001E-2"/>
    <n v="1"/>
    <n v="37.5"/>
    <n v="37.5"/>
    <n v="0"/>
    <n v="0"/>
    <n v="500"/>
    <m/>
    <n v="13.4375"/>
  </r>
  <r>
    <x v="0"/>
    <x v="136"/>
    <x v="3"/>
    <s v="4.1. Floors"/>
    <s v="Floor Finish"/>
    <x v="65"/>
    <s v="Maintenance"/>
    <x v="3"/>
    <n v="2"/>
    <n v="0"/>
    <s v="m² "/>
    <n v="1"/>
    <n v="4.0000000000000001E-3"/>
    <n v="1"/>
    <n v="37.5"/>
    <n v="37.5"/>
    <n v="0"/>
    <n v="0"/>
    <n v="0"/>
    <m/>
    <n v="75"/>
  </r>
  <r>
    <x v="0"/>
    <x v="137"/>
    <x v="3"/>
    <s v="4.1. Floors"/>
    <s v="Floor Finish"/>
    <x v="66"/>
    <s v="Maintenance"/>
    <x v="2"/>
    <n v="1"/>
    <n v="0"/>
    <s v="Each"/>
    <n v="1"/>
    <n v="4.0000000000000001E-3"/>
    <n v="1"/>
    <n v="37.5"/>
    <n v="37.5"/>
    <n v="0"/>
    <n v="0"/>
    <n v="50"/>
    <m/>
    <n v="87.5"/>
  </r>
  <r>
    <x v="0"/>
    <x v="138"/>
    <x v="3"/>
    <s v="4.1. Floors"/>
    <s v="TBD"/>
    <x v="4"/>
    <s v="N/A"/>
    <x v="2"/>
    <n v="0"/>
    <n v="0"/>
    <s v=""/>
    <m/>
    <m/>
    <n v="0"/>
    <n v="37.5"/>
    <n v="0"/>
    <n v="0"/>
    <n v="0"/>
    <n v="0"/>
    <m/>
    <n v="0"/>
  </r>
  <r>
    <x v="0"/>
    <x v="139"/>
    <x v="3"/>
    <s v="4.1. Floors"/>
    <s v="TBD"/>
    <x v="4"/>
    <s v="N/A"/>
    <x v="2"/>
    <n v="0"/>
    <n v="0"/>
    <s v=""/>
    <m/>
    <m/>
    <n v="0"/>
    <n v="37.5"/>
    <n v="0"/>
    <n v="0"/>
    <n v="0"/>
    <n v="0"/>
    <m/>
    <n v="0"/>
  </r>
  <r>
    <x v="0"/>
    <x v="140"/>
    <x v="3"/>
    <s v="4.1. Floors"/>
    <s v="TBD"/>
    <x v="4"/>
    <s v="N/A"/>
    <x v="2"/>
    <n v="0"/>
    <n v="0"/>
    <s v=""/>
    <m/>
    <m/>
    <n v="0"/>
    <n v="37.5"/>
    <n v="0"/>
    <n v="0"/>
    <n v="0"/>
    <n v="0"/>
    <m/>
    <n v="0"/>
  </r>
  <r>
    <x v="0"/>
    <x v="141"/>
    <x v="3"/>
    <s v="4.2. Walls"/>
    <s v="Wall Finish"/>
    <x v="67"/>
    <s v="Maintenance"/>
    <x v="2"/>
    <n v="3"/>
    <n v="0"/>
    <s v="Each"/>
    <n v="1"/>
    <n v="8"/>
    <n v="1"/>
    <n v="37.5"/>
    <n v="37.5"/>
    <m/>
    <n v="0"/>
    <n v="100"/>
    <m/>
    <n v="412.5"/>
  </r>
  <r>
    <x v="0"/>
    <x v="142"/>
    <x v="3"/>
    <s v="4.2. Walls"/>
    <s v="TBD"/>
    <x v="4"/>
    <s v="N/A"/>
    <x v="2"/>
    <n v="0"/>
    <n v="0"/>
    <s v=""/>
    <m/>
    <m/>
    <n v="0"/>
    <n v="37.5"/>
    <n v="0"/>
    <n v="0"/>
    <n v="0"/>
    <n v="0"/>
    <m/>
    <n v="0"/>
  </r>
  <r>
    <x v="0"/>
    <x v="143"/>
    <x v="3"/>
    <s v="4.2. Walls"/>
    <s v="TBD"/>
    <x v="4"/>
    <s v="N/A"/>
    <x v="2"/>
    <n v="0"/>
    <n v="0"/>
    <s v=""/>
    <m/>
    <m/>
    <n v="0"/>
    <n v="37.5"/>
    <n v="0"/>
    <n v="0"/>
    <n v="0"/>
    <n v="0"/>
    <m/>
    <n v="0"/>
  </r>
  <r>
    <x v="0"/>
    <x v="144"/>
    <x v="3"/>
    <s v="4.2. Walls"/>
    <s v="TBD"/>
    <x v="4"/>
    <s v="N/A"/>
    <x v="2"/>
    <n v="0"/>
    <n v="0"/>
    <s v=""/>
    <m/>
    <m/>
    <n v="0"/>
    <n v="37.5"/>
    <n v="0"/>
    <n v="0"/>
    <n v="0"/>
    <n v="0"/>
    <m/>
    <n v="0"/>
  </r>
  <r>
    <x v="0"/>
    <x v="145"/>
    <x v="3"/>
    <s v="4.2. Walls"/>
    <s v="TBD"/>
    <x v="4"/>
    <s v="N/A"/>
    <x v="2"/>
    <n v="0"/>
    <n v="0"/>
    <s v=""/>
    <m/>
    <m/>
    <n v="0"/>
    <n v="37.5"/>
    <n v="0"/>
    <n v="0"/>
    <n v="0"/>
    <n v="0"/>
    <m/>
    <n v="0"/>
  </r>
  <r>
    <x v="0"/>
    <x v="146"/>
    <x v="3"/>
    <s v="4.2. Walls"/>
    <s v="TBD"/>
    <x v="4"/>
    <s v="N/A"/>
    <x v="2"/>
    <n v="0"/>
    <n v="0"/>
    <s v=""/>
    <m/>
    <m/>
    <n v="0"/>
    <n v="37.5"/>
    <n v="0"/>
    <n v="0"/>
    <n v="0"/>
    <n v="0"/>
    <m/>
    <n v="0"/>
  </r>
  <r>
    <x v="0"/>
    <x v="147"/>
    <x v="3"/>
    <s v="4.3. Ceilings"/>
    <s v="Suspended T-Bar"/>
    <x v="68"/>
    <s v="Maintenance"/>
    <x v="2"/>
    <n v="1"/>
    <n v="0"/>
    <s v="Each"/>
    <n v="1"/>
    <n v="4"/>
    <n v="1"/>
    <n v="37.5"/>
    <n v="37.5"/>
    <n v="0"/>
    <n v="0"/>
    <n v="100"/>
    <m/>
    <n v="137.5"/>
  </r>
  <r>
    <x v="0"/>
    <x v="148"/>
    <x v="3"/>
    <s v="4.3. Ceilings"/>
    <s v="TBD"/>
    <x v="4"/>
    <s v="N/A"/>
    <x v="2"/>
    <n v="0"/>
    <n v="0"/>
    <s v=""/>
    <m/>
    <m/>
    <n v="0"/>
    <n v="37.5"/>
    <n v="0"/>
    <n v="0"/>
    <n v="0"/>
    <n v="0"/>
    <m/>
    <n v="0"/>
  </r>
  <r>
    <x v="0"/>
    <x v="149"/>
    <x v="3"/>
    <s v="4.3. Ceilings"/>
    <s v="TBD"/>
    <x v="4"/>
    <s v="N/A"/>
    <x v="2"/>
    <n v="0"/>
    <n v="0"/>
    <s v=""/>
    <m/>
    <m/>
    <n v="0"/>
    <n v="37.5"/>
    <n v="0"/>
    <n v="0"/>
    <n v="0"/>
    <n v="0"/>
    <m/>
    <n v="0"/>
  </r>
  <r>
    <x v="0"/>
    <x v="150"/>
    <x v="3"/>
    <s v="4.3. Ceilings"/>
    <s v="TBD"/>
    <x v="4"/>
    <s v="N/A"/>
    <x v="2"/>
    <n v="0"/>
    <n v="0"/>
    <s v=""/>
    <m/>
    <m/>
    <n v="0"/>
    <n v="37.5"/>
    <n v="0"/>
    <n v="0"/>
    <n v="0"/>
    <n v="0"/>
    <m/>
    <n v="0"/>
  </r>
  <r>
    <x v="0"/>
    <x v="151"/>
    <x v="3"/>
    <s v="4.3. Ceilings"/>
    <s v="TBD"/>
    <x v="4"/>
    <s v="N/A"/>
    <x v="2"/>
    <n v="0"/>
    <n v="0"/>
    <s v=""/>
    <m/>
    <m/>
    <n v="0"/>
    <n v="37.5"/>
    <n v="0"/>
    <n v="0"/>
    <n v="0"/>
    <n v="0"/>
    <m/>
    <n v="0"/>
  </r>
  <r>
    <x v="0"/>
    <x v="152"/>
    <x v="3"/>
    <s v="4.3. Ceilings"/>
    <s v="TBD"/>
    <x v="4"/>
    <s v="N/A"/>
    <x v="2"/>
    <n v="0"/>
    <n v="0"/>
    <s v=""/>
    <m/>
    <m/>
    <n v="0"/>
    <n v="37.5"/>
    <n v="0"/>
    <n v="0"/>
    <n v="0"/>
    <n v="0"/>
    <m/>
    <n v="0"/>
  </r>
  <r>
    <x v="0"/>
    <x v="153"/>
    <x v="3"/>
    <s v="4.4. Doors"/>
    <s v="Doors &amp; Hardware"/>
    <x v="69"/>
    <s v="Maintenance"/>
    <x v="0"/>
    <n v="1"/>
    <n v="0"/>
    <s v="Each"/>
    <n v="1"/>
    <n v="0.8"/>
    <n v="1"/>
    <n v="37.5"/>
    <n v="37.5"/>
    <n v="0"/>
    <n v="0"/>
    <n v="50"/>
    <m/>
    <n v="87.5"/>
  </r>
  <r>
    <x v="0"/>
    <x v="154"/>
    <x v="3"/>
    <s v="4.4. Doors"/>
    <s v="Doors &amp; Hardware"/>
    <x v="70"/>
    <s v="Maintenance"/>
    <x v="2"/>
    <n v="2"/>
    <n v="0"/>
    <s v="Each"/>
    <n v="1"/>
    <n v="4"/>
    <n v="1"/>
    <n v="37.5"/>
    <n v="37.5"/>
    <n v="0"/>
    <n v="0"/>
    <n v="350"/>
    <m/>
    <n v="775"/>
  </r>
  <r>
    <x v="0"/>
    <x v="155"/>
    <x v="3"/>
    <s v="4.4. Doors"/>
    <s v="TBD"/>
    <x v="4"/>
    <s v="N/A"/>
    <x v="2"/>
    <n v="0"/>
    <n v="0"/>
    <s v=""/>
    <m/>
    <m/>
    <n v="0"/>
    <n v="37.5"/>
    <n v="0"/>
    <n v="0"/>
    <n v="0"/>
    <n v="0"/>
    <m/>
    <n v="0"/>
  </r>
  <r>
    <x v="0"/>
    <x v="156"/>
    <x v="3"/>
    <s v="4.4. Doors"/>
    <s v="TBD"/>
    <x v="4"/>
    <s v="N/A"/>
    <x v="2"/>
    <n v="0"/>
    <n v="0"/>
    <s v=""/>
    <m/>
    <m/>
    <n v="0"/>
    <n v="37.5"/>
    <n v="0"/>
    <n v="0"/>
    <n v="0"/>
    <n v="0"/>
    <m/>
    <n v="0"/>
  </r>
  <r>
    <x v="0"/>
    <x v="157"/>
    <x v="3"/>
    <s v="4.4. Doors"/>
    <s v="TBD"/>
    <x v="4"/>
    <s v="N/A"/>
    <x v="2"/>
    <n v="0"/>
    <n v="0"/>
    <s v=""/>
    <m/>
    <m/>
    <n v="0"/>
    <n v="37.5"/>
    <n v="0"/>
    <n v="0"/>
    <n v="0"/>
    <n v="0"/>
    <m/>
    <n v="0"/>
  </r>
  <r>
    <x v="0"/>
    <x v="158"/>
    <x v="3"/>
    <s v="4.4. Doors"/>
    <s v="TBD"/>
    <x v="4"/>
    <s v="N/A"/>
    <x v="2"/>
    <n v="0"/>
    <n v="0"/>
    <s v=""/>
    <m/>
    <m/>
    <n v="0"/>
    <n v="37.5"/>
    <n v="0"/>
    <n v="0"/>
    <n v="0"/>
    <n v="0"/>
    <m/>
    <n v="0"/>
  </r>
  <r>
    <x v="0"/>
    <x v="159"/>
    <x v="3"/>
    <s v="4.5. Painting"/>
    <s v="Washrooms"/>
    <x v="71"/>
    <s v="Maintenance"/>
    <x v="11"/>
    <n v="0.14285714285714285"/>
    <n v="0"/>
    <s v="m² "/>
    <n v="1"/>
    <n v="0.8"/>
    <n v="1"/>
    <n v="37.5"/>
    <n v="37.5"/>
    <n v="0"/>
    <n v="0"/>
    <n v="400"/>
    <m/>
    <n v="62.5"/>
  </r>
  <r>
    <x v="0"/>
    <x v="160"/>
    <x v="3"/>
    <s v="4.5. Painting"/>
    <s v="Board Room"/>
    <x v="72"/>
    <s v="Maintenance"/>
    <x v="10"/>
    <n v="0.1"/>
    <n v="0"/>
    <s v="m² "/>
    <n v="1"/>
    <n v="0.4"/>
    <n v="1"/>
    <n v="37.5"/>
    <n v="37.5"/>
    <n v="0"/>
    <n v="0"/>
    <n v="100"/>
    <m/>
    <n v="13.75"/>
  </r>
  <r>
    <x v="0"/>
    <x v="161"/>
    <x v="3"/>
    <s v="4.5. Painting"/>
    <s v="Interior"/>
    <x v="73"/>
    <s v="Maintenance"/>
    <x v="10"/>
    <n v="0.1"/>
    <n v="0"/>
    <s v="m² "/>
    <n v="1"/>
    <n v="0.4"/>
    <n v="1"/>
    <n v="37.5"/>
    <n v="37.5"/>
    <n v="0"/>
    <n v="0"/>
    <n v="100"/>
    <m/>
    <n v="13.75"/>
  </r>
  <r>
    <x v="0"/>
    <x v="162"/>
    <x v="3"/>
    <s v="4.5. Painting"/>
    <s v="Corridor"/>
    <x v="74"/>
    <s v="Maintenance"/>
    <x v="2"/>
    <n v="3"/>
    <n v="0"/>
    <s v="m² "/>
    <n v="1"/>
    <n v="0.4"/>
    <n v="1"/>
    <n v="37.5"/>
    <n v="37.5"/>
    <n v="0"/>
    <n v="0"/>
    <n v="50"/>
    <m/>
    <n v="262.5"/>
  </r>
  <r>
    <x v="0"/>
    <x v="163"/>
    <x v="3"/>
    <s v="4.5. Painting"/>
    <s v="TBD"/>
    <x v="4"/>
    <s v="N/A"/>
    <x v="2"/>
    <n v="0"/>
    <n v="0"/>
    <s v=""/>
    <m/>
    <m/>
    <n v="0"/>
    <n v="37.5"/>
    <n v="0"/>
    <n v="0"/>
    <n v="0"/>
    <n v="0"/>
    <m/>
    <n v="0"/>
  </r>
  <r>
    <x v="0"/>
    <x v="164"/>
    <x v="3"/>
    <s v="4.5. Painting"/>
    <s v="TBD"/>
    <x v="4"/>
    <s v="N/A"/>
    <x v="2"/>
    <n v="0"/>
    <n v="0"/>
    <s v=""/>
    <m/>
    <m/>
    <n v="0"/>
    <n v="37.5"/>
    <n v="0"/>
    <n v="0"/>
    <n v="0"/>
    <n v="0"/>
    <m/>
    <n v="0"/>
  </r>
  <r>
    <x v="0"/>
    <x v="165"/>
    <x v="3"/>
    <s v="4.6. Stairs &amp; Railings"/>
    <s v="Stair Treads &amp; Railings"/>
    <x v="75"/>
    <s v="Maintenance"/>
    <x v="0"/>
    <n v="1"/>
    <n v="0"/>
    <s v="Each"/>
    <n v="1"/>
    <n v="2"/>
    <n v="1"/>
    <n v="37.5"/>
    <n v="37.5"/>
    <n v="0"/>
    <n v="0"/>
    <n v="20"/>
    <m/>
    <n v="57.5"/>
  </r>
  <r>
    <x v="0"/>
    <x v="166"/>
    <x v="3"/>
    <s v="4.6. Stairs &amp; Railings"/>
    <s v="Stair Treads"/>
    <x v="76"/>
    <s v="Maintenance"/>
    <x v="2"/>
    <n v="0"/>
    <n v="0"/>
    <s v="Each"/>
    <n v="1"/>
    <n v="4"/>
    <n v="1"/>
    <n v="37.5"/>
    <n v="37.5"/>
    <n v="0"/>
    <n v="0"/>
    <n v="100"/>
    <m/>
    <n v="0"/>
  </r>
  <r>
    <x v="0"/>
    <x v="167"/>
    <x v="3"/>
    <s v="4.6. Stairs &amp; Railings"/>
    <s v="Handrails &amp; Guardrails"/>
    <x v="77"/>
    <s v="Maintenance"/>
    <x v="2"/>
    <n v="0"/>
    <n v="0"/>
    <s v="Each"/>
    <n v="1"/>
    <n v="4"/>
    <n v="1"/>
    <n v="37.5"/>
    <n v="37.5"/>
    <n v="0"/>
    <n v="0"/>
    <n v="200"/>
    <m/>
    <n v="0"/>
  </r>
  <r>
    <x v="0"/>
    <x v="168"/>
    <x v="3"/>
    <s v="4.6. Stairs &amp; Railings"/>
    <s v="Handrails &amp; Guardrails"/>
    <x v="4"/>
    <s v="N/A"/>
    <x v="2"/>
    <n v="0"/>
    <n v="0"/>
    <s v=""/>
    <m/>
    <m/>
    <n v="0"/>
    <n v="37.5"/>
    <n v="0"/>
    <n v="0"/>
    <n v="0"/>
    <n v="0"/>
    <m/>
    <n v="0"/>
  </r>
  <r>
    <x v="0"/>
    <x v="169"/>
    <x v="3"/>
    <s v="4.6. Stairs &amp; Railings"/>
    <s v="TBD"/>
    <x v="4"/>
    <s v="N/A"/>
    <x v="2"/>
    <n v="0"/>
    <n v="0"/>
    <s v=""/>
    <m/>
    <m/>
    <n v="0"/>
    <n v="37.5"/>
    <n v="0"/>
    <n v="0"/>
    <n v="0"/>
    <n v="0"/>
    <m/>
    <n v="0"/>
  </r>
  <r>
    <x v="0"/>
    <x v="170"/>
    <x v="3"/>
    <s v="4.6. Stairs &amp; Railings"/>
    <s v="TBD"/>
    <x v="4"/>
    <s v="N/A"/>
    <x v="2"/>
    <n v="0"/>
    <n v="0"/>
    <s v=""/>
    <m/>
    <m/>
    <n v="0"/>
    <n v="37.5"/>
    <n v="0"/>
    <n v="0"/>
    <n v="0"/>
    <n v="0"/>
    <m/>
    <n v="0"/>
  </r>
  <r>
    <x v="0"/>
    <x v="171"/>
    <x v="3"/>
    <s v="4.7. Millwork"/>
    <s v="Millwork"/>
    <x v="78"/>
    <s v="Maintenance"/>
    <x v="0"/>
    <n v="1"/>
    <n v="0"/>
    <s v="m"/>
    <n v="1"/>
    <n v="0.2"/>
    <n v="1"/>
    <n v="37.5"/>
    <n v="37.5"/>
    <n v="0"/>
    <n v="0"/>
    <n v="0"/>
    <m/>
    <n v="37.5"/>
  </r>
  <r>
    <x v="0"/>
    <x v="172"/>
    <x v="3"/>
    <s v="4.7. Millwork"/>
    <s v="Millwork doors"/>
    <x v="79"/>
    <s v="Maintenance"/>
    <x v="2"/>
    <n v="2"/>
    <n v="0"/>
    <s v="Each"/>
    <n v="1"/>
    <n v="2"/>
    <n v="1"/>
    <n v="37.5"/>
    <n v="37.5"/>
    <n v="0"/>
    <n v="0"/>
    <n v="30"/>
    <m/>
    <n v="135"/>
  </r>
  <r>
    <x v="0"/>
    <x v="173"/>
    <x v="3"/>
    <s v="4.7. Millwork"/>
    <s v="TBD"/>
    <x v="4"/>
    <s v="N/A"/>
    <x v="2"/>
    <n v="0"/>
    <n v="0"/>
    <s v=""/>
    <m/>
    <m/>
    <n v="0"/>
    <n v="37.5"/>
    <n v="0"/>
    <n v="0"/>
    <n v="0"/>
    <n v="0"/>
    <m/>
    <n v="0"/>
  </r>
  <r>
    <x v="0"/>
    <x v="174"/>
    <x v="3"/>
    <s v="4.7. Millwork"/>
    <s v="TBD"/>
    <x v="4"/>
    <s v="N/A"/>
    <x v="2"/>
    <n v="0"/>
    <n v="0"/>
    <s v=""/>
    <m/>
    <m/>
    <n v="0"/>
    <n v="37.5"/>
    <n v="0"/>
    <n v="0"/>
    <n v="0"/>
    <n v="0"/>
    <m/>
    <n v="0"/>
  </r>
  <r>
    <x v="0"/>
    <x v="175"/>
    <x v="3"/>
    <s v="4.7. Millwork"/>
    <s v="TBD"/>
    <x v="4"/>
    <s v="N/A"/>
    <x v="2"/>
    <n v="0"/>
    <n v="0"/>
    <s v=""/>
    <m/>
    <m/>
    <n v="0"/>
    <n v="37.5"/>
    <n v="0"/>
    <n v="0"/>
    <n v="0"/>
    <n v="0"/>
    <m/>
    <n v="0"/>
  </r>
  <r>
    <x v="0"/>
    <x v="176"/>
    <x v="3"/>
    <s v="4.7. Millwork"/>
    <s v="TBD"/>
    <x v="4"/>
    <s v="N/A"/>
    <x v="2"/>
    <n v="0"/>
    <n v="0"/>
    <s v=""/>
    <m/>
    <m/>
    <n v="0"/>
    <n v="37.5"/>
    <n v="0"/>
    <n v="0"/>
    <n v="0"/>
    <n v="0"/>
    <m/>
    <n v="0"/>
  </r>
  <r>
    <x v="0"/>
    <x v="177"/>
    <x v="3"/>
    <s v="4.8. Washroom Accessories"/>
    <s v="Hand Dryer"/>
    <x v="80"/>
    <s v="Maintenance"/>
    <x v="2"/>
    <n v="1"/>
    <n v="0"/>
    <s v="Each"/>
    <n v="1"/>
    <n v="2"/>
    <n v="1"/>
    <n v="37.5"/>
    <n v="37.5"/>
    <n v="0"/>
    <n v="0"/>
    <n v="0"/>
    <m/>
    <n v="37.5"/>
  </r>
  <r>
    <x v="0"/>
    <x v="178"/>
    <x v="3"/>
    <s v="4.8. Washroom Accessories"/>
    <s v="TP Dispenser"/>
    <x v="81"/>
    <s v="Maintenance"/>
    <x v="2"/>
    <n v="1"/>
    <n v="0"/>
    <s v="Each"/>
    <n v="1"/>
    <n v="2"/>
    <n v="1"/>
    <n v="37.5"/>
    <n v="37.5"/>
    <n v="0"/>
    <n v="0"/>
    <n v="100"/>
    <m/>
    <n v="137.5"/>
  </r>
  <r>
    <x v="0"/>
    <x v="179"/>
    <x v="3"/>
    <s v="4.8. Washroom Accessories"/>
    <s v="Toilet Partitions"/>
    <x v="82"/>
    <s v="Maintenance"/>
    <x v="0"/>
    <n v="1"/>
    <n v="0"/>
    <s v="Each"/>
    <n v="1"/>
    <n v="2"/>
    <n v="1"/>
    <n v="37.5"/>
    <n v="37.5"/>
    <n v="0"/>
    <n v="0"/>
    <n v="0"/>
    <m/>
    <n v="37.5"/>
  </r>
  <r>
    <x v="0"/>
    <x v="180"/>
    <x v="3"/>
    <s v="4.8. Washroom Accessories"/>
    <s v="TBD"/>
    <x v="4"/>
    <s v="N/A"/>
    <x v="2"/>
    <n v="0"/>
    <n v="0"/>
    <s v=""/>
    <m/>
    <m/>
    <n v="0"/>
    <n v="37.5"/>
    <n v="0"/>
    <n v="0"/>
    <n v="0"/>
    <n v="0"/>
    <m/>
    <n v="0"/>
  </r>
  <r>
    <x v="0"/>
    <x v="181"/>
    <x v="3"/>
    <s v="4.8. Washroom Accessories"/>
    <s v="TBD"/>
    <x v="4"/>
    <s v="N/A"/>
    <x v="2"/>
    <n v="0"/>
    <n v="0"/>
    <s v=""/>
    <m/>
    <m/>
    <n v="0"/>
    <n v="37.5"/>
    <n v="0"/>
    <n v="0"/>
    <n v="0"/>
    <n v="0"/>
    <m/>
    <n v="0"/>
  </r>
  <r>
    <x v="0"/>
    <x v="182"/>
    <x v="3"/>
    <s v="4.8. Washroom Accessories"/>
    <s v="TBD"/>
    <x v="4"/>
    <s v="N/A"/>
    <x v="2"/>
    <n v="0"/>
    <n v="0"/>
    <s v=""/>
    <m/>
    <m/>
    <n v="0"/>
    <n v="37.5"/>
    <n v="0"/>
    <n v="0"/>
    <n v="0"/>
    <n v="0"/>
    <m/>
    <n v="0"/>
  </r>
  <r>
    <x v="0"/>
    <x v="183"/>
    <x v="3"/>
    <s v="4.9. Window Coverings"/>
    <s v="Window Coverings"/>
    <x v="83"/>
    <s v="Capital"/>
    <x v="10"/>
    <n v="0.1"/>
    <n v="0"/>
    <s v="Each"/>
    <n v="1"/>
    <n v="2"/>
    <n v="1"/>
    <n v="37.5"/>
    <n v="37.5"/>
    <n v="0"/>
    <n v="0"/>
    <n v="100"/>
    <m/>
    <n v="13.75"/>
  </r>
  <r>
    <x v="0"/>
    <x v="184"/>
    <x v="3"/>
    <s v="4.9. Window Coverings"/>
    <s v="Window Coverings"/>
    <x v="84"/>
    <s v="Maintenance"/>
    <x v="2"/>
    <n v="3"/>
    <n v="0"/>
    <s v="Each"/>
    <n v="1"/>
    <n v="2"/>
    <n v="1"/>
    <n v="37.5"/>
    <n v="37.5"/>
    <n v="0"/>
    <n v="0"/>
    <n v="500"/>
    <m/>
    <n v="1612.5"/>
  </r>
  <r>
    <x v="0"/>
    <x v="185"/>
    <x v="3"/>
    <s v="4.9. Window Coverings"/>
    <s v="Window Coverings"/>
    <x v="4"/>
    <s v="N/A"/>
    <x v="2"/>
    <n v="0"/>
    <n v="0"/>
    <s v=""/>
    <m/>
    <m/>
    <n v="0"/>
    <n v="37.5"/>
    <n v="0"/>
    <n v="0"/>
    <n v="0"/>
    <n v="0"/>
    <m/>
    <n v="0"/>
  </r>
  <r>
    <x v="0"/>
    <x v="186"/>
    <x v="3"/>
    <s v="4.9. Window Coverings"/>
    <s v="Window Coverings"/>
    <x v="4"/>
    <s v="N/A"/>
    <x v="2"/>
    <n v="0"/>
    <n v="0"/>
    <s v=""/>
    <m/>
    <m/>
    <n v="0"/>
    <n v="37.5"/>
    <n v="0"/>
    <n v="0"/>
    <n v="0"/>
    <n v="0"/>
    <m/>
    <n v="0"/>
  </r>
  <r>
    <x v="0"/>
    <x v="187"/>
    <x v="3"/>
    <s v="4.9. Window Coverings"/>
    <s v="Window Coverings"/>
    <x v="4"/>
    <s v="N/A"/>
    <x v="2"/>
    <n v="0"/>
    <n v="0"/>
    <s v=""/>
    <m/>
    <m/>
    <n v="0"/>
    <n v="37.5"/>
    <n v="0"/>
    <n v="0"/>
    <n v="0"/>
    <n v="0"/>
    <m/>
    <n v="0"/>
  </r>
  <r>
    <x v="0"/>
    <x v="188"/>
    <x v="3"/>
    <s v="4.9. Window Coverings"/>
    <s v="Window Coverings"/>
    <x v="4"/>
    <s v="N/A"/>
    <x v="2"/>
    <n v="0"/>
    <n v="0"/>
    <s v=""/>
    <m/>
    <m/>
    <n v="0"/>
    <n v="37.5"/>
    <n v="0"/>
    <n v="0"/>
    <n v="0"/>
    <n v="0"/>
    <m/>
    <n v="0"/>
  </r>
  <r>
    <x v="0"/>
    <x v="189"/>
    <x v="3"/>
    <s v="4.10. Appliances"/>
    <s v="Appliances (Residential)"/>
    <x v="85"/>
    <s v="Capital"/>
    <x v="10"/>
    <n v="0.1"/>
    <n v="0"/>
    <s v="Each"/>
    <n v="1"/>
    <n v="2"/>
    <n v="1"/>
    <n v="37.5"/>
    <n v="37.5"/>
    <n v="0"/>
    <n v="0"/>
    <n v="1200"/>
    <m/>
    <n v="123.75"/>
  </r>
  <r>
    <x v="0"/>
    <x v="190"/>
    <x v="3"/>
    <s v="4.10. Appliances"/>
    <s v="Appliances (Commercial)"/>
    <x v="86"/>
    <s v="Capital"/>
    <x v="12"/>
    <n v="0.05"/>
    <n v="0"/>
    <s v="Each"/>
    <n v="1"/>
    <n v="4"/>
    <n v="1"/>
    <n v="37.5"/>
    <n v="37.5"/>
    <n v="0"/>
    <n v="0"/>
    <n v="0"/>
    <m/>
    <n v="1.875"/>
  </r>
  <r>
    <x v="0"/>
    <x v="191"/>
    <x v="3"/>
    <s v="4.10. Appliances"/>
    <s v="Dishwasher (Residential)"/>
    <x v="87"/>
    <s v="Maintenance"/>
    <x v="0"/>
    <n v="1"/>
    <n v="0"/>
    <s v="Each"/>
    <n v="1"/>
    <n v="4"/>
    <n v="1"/>
    <n v="37.5"/>
    <n v="37.5"/>
    <n v="0"/>
    <n v="0"/>
    <n v="0"/>
    <m/>
    <n v="37.5"/>
  </r>
  <r>
    <x v="0"/>
    <x v="192"/>
    <x v="3"/>
    <s v="4.10. Appliances"/>
    <s v="Dishwasher (Commercial)"/>
    <x v="88"/>
    <s v="Maintenance"/>
    <x v="0"/>
    <n v="1"/>
    <n v="0"/>
    <s v="Each"/>
    <n v="1"/>
    <n v="4"/>
    <n v="1"/>
    <n v="37.5"/>
    <n v="37.5"/>
    <n v="0"/>
    <n v="0"/>
    <n v="0"/>
    <m/>
    <n v="37.5"/>
  </r>
  <r>
    <x v="0"/>
    <x v="193"/>
    <x v="3"/>
    <s v="4.10. Appliances"/>
    <s v="Cookers (Commercial)"/>
    <x v="89"/>
    <s v="Maintenance"/>
    <x v="0"/>
    <n v="1"/>
    <n v="0"/>
    <s v="Each"/>
    <n v="1"/>
    <n v="4"/>
    <n v="1"/>
    <n v="37.5"/>
    <n v="37.5"/>
    <n v="0"/>
    <n v="0"/>
    <n v="0"/>
    <m/>
    <n v="37.5"/>
  </r>
  <r>
    <x v="0"/>
    <x v="194"/>
    <x v="3"/>
    <s v="4.10. Appliances"/>
    <s v="TBD"/>
    <x v="4"/>
    <s v="N/A"/>
    <x v="2"/>
    <n v="0"/>
    <n v="0"/>
    <s v=""/>
    <m/>
    <m/>
    <n v="0"/>
    <n v="37.5"/>
    <n v="0"/>
    <n v="0"/>
    <n v="0"/>
    <n v="0"/>
    <m/>
    <n v="0"/>
  </r>
  <r>
    <x v="0"/>
    <x v="195"/>
    <x v="3"/>
    <s v="4.10. Appliances"/>
    <s v="TBD"/>
    <x v="4"/>
    <s v="N/A"/>
    <x v="2"/>
    <n v="0"/>
    <n v="0"/>
    <s v=""/>
    <m/>
    <m/>
    <n v="0"/>
    <n v="37.5"/>
    <n v="0"/>
    <n v="0"/>
    <n v="0"/>
    <n v="0"/>
    <m/>
    <n v="0"/>
  </r>
  <r>
    <x v="0"/>
    <x v="196"/>
    <x v="3"/>
    <s v="4.10. Appliances"/>
    <s v="TBD"/>
    <x v="4"/>
    <s v="N/A"/>
    <x v="2"/>
    <n v="0"/>
    <n v="0"/>
    <s v=""/>
    <m/>
    <m/>
    <n v="0"/>
    <n v="37.5"/>
    <n v="0"/>
    <n v="0"/>
    <n v="0"/>
    <n v="0"/>
    <m/>
    <n v="0"/>
  </r>
  <r>
    <x v="0"/>
    <x v="197"/>
    <x v="3"/>
    <s v="4.10. Appliances"/>
    <s v="TBD"/>
    <x v="4"/>
    <s v="N/A"/>
    <x v="2"/>
    <n v="0"/>
    <n v="0"/>
    <s v=""/>
    <m/>
    <m/>
    <n v="0"/>
    <n v="37.5"/>
    <n v="0"/>
    <n v="0"/>
    <n v="0"/>
    <n v="0"/>
    <m/>
    <n v="0"/>
  </r>
  <r>
    <x v="0"/>
    <x v="198"/>
    <x v="3"/>
    <s v="4.11. Other"/>
    <s v="Consultant"/>
    <x v="90"/>
    <s v="Capital"/>
    <x v="10"/>
    <n v="0.1"/>
    <n v="0"/>
    <s v="Each"/>
    <n v="1"/>
    <n v="8"/>
    <n v="1"/>
    <n v="37.5"/>
    <n v="37.5"/>
    <n v="0"/>
    <n v="0"/>
    <n v="0"/>
    <m/>
    <n v="3.75"/>
  </r>
  <r>
    <x v="0"/>
    <x v="199"/>
    <x v="3"/>
    <s v="4.11. Other"/>
    <s v="Custodial"/>
    <x v="91"/>
    <s v="Maintenance"/>
    <x v="1"/>
    <n v="52"/>
    <n v="0"/>
    <s v="m² "/>
    <n v="1"/>
    <n v="0.02"/>
    <n v="1"/>
    <n v="37.5"/>
    <n v="37.5"/>
    <n v="0"/>
    <n v="0"/>
    <n v="15"/>
    <m/>
    <n v="2730"/>
  </r>
  <r>
    <x v="0"/>
    <x v="200"/>
    <x v="3"/>
    <s v="4.11. Other"/>
    <s v="Utilities-Power"/>
    <x v="92"/>
    <s v="Maintenance"/>
    <x v="4"/>
    <n v="12"/>
    <n v="0"/>
    <s v="Enter Monthly Charge or 0 if N/A"/>
    <n v="1"/>
    <m/>
    <n v="1"/>
    <n v="37.5"/>
    <n v="37.5"/>
    <n v="0"/>
    <n v="0"/>
    <n v="0"/>
    <n v="0"/>
    <n v="450"/>
  </r>
  <r>
    <x v="0"/>
    <x v="201"/>
    <x v="3"/>
    <s v="4.11. Other"/>
    <s v="Utilities-Gas"/>
    <x v="93"/>
    <s v="Maintenance"/>
    <x v="4"/>
    <n v="12"/>
    <n v="0"/>
    <s v="Enter Monthly Charge or 0 if N/A"/>
    <n v="1"/>
    <m/>
    <n v="1"/>
    <n v="37.5"/>
    <n v="37.5"/>
    <n v="0"/>
    <n v="0"/>
    <n v="0"/>
    <n v="0"/>
    <n v="450"/>
  </r>
  <r>
    <x v="0"/>
    <x v="202"/>
    <x v="3"/>
    <s v="4.11. Other"/>
    <s v="Utilities-Phone &amp; Internet"/>
    <x v="94"/>
    <s v="Maintenance"/>
    <x v="4"/>
    <n v="12"/>
    <n v="0"/>
    <s v="Enter Monthly Charge or 0 if N/A"/>
    <n v="1"/>
    <m/>
    <n v="1"/>
    <n v="37.5"/>
    <n v="37.5"/>
    <n v="0"/>
    <n v="0"/>
    <n v="0"/>
    <n v="0"/>
    <n v="450"/>
  </r>
  <r>
    <x v="0"/>
    <x v="203"/>
    <x v="3"/>
    <s v="4.11. Other"/>
    <s v="Utilities-Municipal Water"/>
    <x v="95"/>
    <s v="Maintenance"/>
    <x v="4"/>
    <n v="12"/>
    <n v="0"/>
    <s v="Enter Monthly Charge or 0 if N/A"/>
    <n v="1"/>
    <m/>
    <n v="1"/>
    <n v="37.5"/>
    <n v="37.5"/>
    <n v="0"/>
    <n v="0"/>
    <n v="0"/>
    <n v="0"/>
    <n v="450"/>
  </r>
  <r>
    <x v="0"/>
    <x v="204"/>
    <x v="3"/>
    <s v="4.11. Other"/>
    <s v="Utilities-Municipal Sewer"/>
    <x v="96"/>
    <s v="Maintenance"/>
    <x v="4"/>
    <n v="12"/>
    <n v="0"/>
    <s v="Enter Monthly Charge or 0 if N/A"/>
    <n v="1"/>
    <m/>
    <n v="1"/>
    <n v="37.5"/>
    <n v="37.5"/>
    <n v="0"/>
    <n v="0"/>
    <n v="0"/>
    <n v="0"/>
    <n v="450"/>
  </r>
  <r>
    <x v="0"/>
    <x v="205"/>
    <x v="3"/>
    <s v="4.11. Other"/>
    <s v="Utilities-Municipal MTSA/Fire Protection"/>
    <x v="97"/>
    <s v="Maintenance"/>
    <x v="4"/>
    <n v="12"/>
    <n v="0"/>
    <s v="Enter Monthly Charge or 0 if N/A"/>
    <n v="1"/>
    <m/>
    <n v="1"/>
    <n v="37.5"/>
    <n v="37.5"/>
    <n v="0"/>
    <n v="0"/>
    <n v="0"/>
    <n v="0"/>
    <n v="450"/>
  </r>
  <r>
    <x v="0"/>
    <x v="206"/>
    <x v="3"/>
    <s v="4.11. Other"/>
    <s v="Utilities-24 Hr Fire Protection Monitoring"/>
    <x v="98"/>
    <s v="Maintenance"/>
    <x v="4"/>
    <n v="12"/>
    <n v="0"/>
    <s v="Enter Monthly Charge or 0 if N/A"/>
    <n v="1"/>
    <m/>
    <n v="1"/>
    <n v="37.5"/>
    <n v="37.5"/>
    <n v="0"/>
    <n v="0"/>
    <n v="0"/>
    <n v="0"/>
    <n v="450"/>
  </r>
  <r>
    <x v="0"/>
    <x v="207"/>
    <x v="3"/>
    <s v="4.11. Other"/>
    <s v="Utilities-24 Hr Security System Monitoring"/>
    <x v="99"/>
    <s v="Maintenance"/>
    <x v="4"/>
    <n v="12"/>
    <n v="0"/>
    <s v="Enter Monthly Charge or 0 if N/A"/>
    <n v="1"/>
    <m/>
    <n v="1"/>
    <n v="37.5"/>
    <n v="37.5"/>
    <n v="0"/>
    <n v="0"/>
    <n v="0"/>
    <n v="0"/>
    <n v="450"/>
  </r>
  <r>
    <x v="0"/>
    <x v="208"/>
    <x v="3"/>
    <s v="4.11. Other"/>
    <s v="TBD"/>
    <x v="4"/>
    <s v="N/A"/>
    <x v="2"/>
    <n v="0"/>
    <n v="0"/>
    <s v=""/>
    <m/>
    <m/>
    <n v="0"/>
    <n v="37.5"/>
    <n v="0"/>
    <n v="0"/>
    <n v="0"/>
    <n v="0"/>
    <m/>
    <n v="0"/>
  </r>
  <r>
    <x v="0"/>
    <x v="209"/>
    <x v="3"/>
    <s v="4.11. Other"/>
    <s v="TBD"/>
    <x v="4"/>
    <s v="N/A"/>
    <x v="2"/>
    <n v="0"/>
    <n v="0"/>
    <s v=""/>
    <m/>
    <m/>
    <n v="0"/>
    <n v="37.5"/>
    <n v="0"/>
    <n v="0"/>
    <n v="0"/>
    <n v="0"/>
    <m/>
    <n v="0"/>
  </r>
  <r>
    <x v="0"/>
    <x v="210"/>
    <x v="3"/>
    <s v="4.11. Other"/>
    <s v="TBD"/>
    <x v="4"/>
    <s v="N/A"/>
    <x v="2"/>
    <n v="0"/>
    <n v="0"/>
    <s v=""/>
    <m/>
    <m/>
    <n v="0"/>
    <n v="37.5"/>
    <n v="0"/>
    <n v="0"/>
    <n v="0"/>
    <n v="0"/>
    <m/>
    <n v="0"/>
  </r>
  <r>
    <x v="0"/>
    <x v="211"/>
    <x v="4"/>
    <s v="5.1. Plumbing"/>
    <s v="Water (hot &amp; cold)"/>
    <x v="100"/>
    <s v="Maintenance"/>
    <x v="10"/>
    <n v="0.1"/>
    <n v="0"/>
    <s v="Each"/>
    <n v="1"/>
    <n v="4"/>
    <n v="1"/>
    <n v="37.5"/>
    <n v="37.5"/>
    <n v="0"/>
    <n v="0"/>
    <n v="0"/>
    <m/>
    <n v="3.75"/>
  </r>
  <r>
    <x v="0"/>
    <x v="212"/>
    <x v="4"/>
    <s v="5.1. Plumbing"/>
    <s v="TBD"/>
    <x v="4"/>
    <s v="N/A"/>
    <x v="2"/>
    <n v="0"/>
    <n v="0"/>
    <s v=""/>
    <m/>
    <m/>
    <n v="0"/>
    <n v="37.5"/>
    <n v="0"/>
    <n v="0"/>
    <n v="0"/>
    <n v="0"/>
    <m/>
    <n v="0"/>
  </r>
  <r>
    <x v="0"/>
    <x v="213"/>
    <x v="4"/>
    <s v="5.1. Plumbing"/>
    <s v="TBD"/>
    <x v="4"/>
    <s v="N/A"/>
    <x v="2"/>
    <n v="0"/>
    <n v="0"/>
    <s v=""/>
    <m/>
    <m/>
    <n v="0"/>
    <n v="37.5"/>
    <n v="0"/>
    <n v="0"/>
    <n v="0"/>
    <n v="0"/>
    <m/>
    <n v="0"/>
  </r>
  <r>
    <x v="0"/>
    <x v="214"/>
    <x v="4"/>
    <s v="5.1. Plumbing"/>
    <s v="Water (hot &amp; cold)"/>
    <x v="101"/>
    <s v="Maintenance"/>
    <x v="10"/>
    <n v="0.1"/>
    <n v="0"/>
    <s v="Each"/>
    <n v="1"/>
    <n v="6"/>
    <n v="1"/>
    <n v="37.5"/>
    <n v="37.5"/>
    <n v="0"/>
    <n v="0"/>
    <n v="0"/>
    <m/>
    <n v="3.75"/>
  </r>
  <r>
    <x v="0"/>
    <x v="215"/>
    <x v="4"/>
    <s v="5.1. Plumbing"/>
    <s v="Water (hot &amp; cold)"/>
    <x v="102"/>
    <s v="Capital"/>
    <x v="12"/>
    <n v="0.05"/>
    <n v="0"/>
    <s v="Each"/>
    <n v="1"/>
    <n v="8"/>
    <n v="1"/>
    <n v="37.5"/>
    <n v="37.5"/>
    <n v="0"/>
    <n v="0"/>
    <n v="0"/>
    <m/>
    <n v="1.875"/>
  </r>
  <r>
    <x v="0"/>
    <x v="216"/>
    <x v="4"/>
    <s v="5.1. Plumbing"/>
    <s v="Water (hot &amp; cold)"/>
    <x v="103"/>
    <s v="Maintenance"/>
    <x v="0"/>
    <n v="1"/>
    <n v="0"/>
    <s v="Each"/>
    <n v="1"/>
    <n v="2"/>
    <n v="1"/>
    <n v="37.5"/>
    <n v="37.5"/>
    <n v="0"/>
    <n v="0"/>
    <n v="0"/>
    <m/>
    <n v="37.5"/>
  </r>
  <r>
    <x v="0"/>
    <x v="217"/>
    <x v="4"/>
    <s v="5.1. Plumbing"/>
    <s v="Sanitary"/>
    <x v="104"/>
    <s v="Maintenance"/>
    <x v="2"/>
    <n v="2"/>
    <n v="0"/>
    <s v="Each"/>
    <n v="1"/>
    <n v="4"/>
    <n v="1"/>
    <n v="37.5"/>
    <n v="37.5"/>
    <n v="0"/>
    <n v="100"/>
    <n v="50"/>
    <m/>
    <n v="375"/>
  </r>
  <r>
    <x v="0"/>
    <x v="218"/>
    <x v="4"/>
    <s v="5.1. Plumbing"/>
    <s v="Fixtures"/>
    <x v="105"/>
    <s v="Maintenance"/>
    <x v="10"/>
    <n v="0.1"/>
    <n v="0"/>
    <s v="Each"/>
    <n v="1"/>
    <n v="4"/>
    <n v="1"/>
    <n v="37.5"/>
    <n v="37.5"/>
    <n v="0"/>
    <n v="0"/>
    <n v="600"/>
    <m/>
    <n v="63.75"/>
  </r>
  <r>
    <x v="0"/>
    <x v="219"/>
    <x v="4"/>
    <s v="5.1. Plumbing"/>
    <s v="Water (hot &amp; cold)"/>
    <x v="106"/>
    <s v="Maintenance"/>
    <x v="2"/>
    <n v="1"/>
    <n v="0"/>
    <s v="Each"/>
    <n v="1"/>
    <n v="4"/>
    <n v="1"/>
    <n v="37.5"/>
    <n v="37.5"/>
    <n v="0"/>
    <n v="0"/>
    <n v="0"/>
    <m/>
    <n v="37.5"/>
  </r>
  <r>
    <x v="0"/>
    <x v="220"/>
    <x v="4"/>
    <s v="5.1. Plumbing"/>
    <s v="TBD"/>
    <x v="4"/>
    <s v="N/A"/>
    <x v="2"/>
    <n v="0"/>
    <n v="0"/>
    <s v=""/>
    <m/>
    <m/>
    <n v="0"/>
    <n v="37.5"/>
    <n v="0"/>
    <n v="0"/>
    <n v="0"/>
    <n v="0"/>
    <m/>
    <n v="0"/>
  </r>
  <r>
    <x v="0"/>
    <x v="221"/>
    <x v="4"/>
    <s v="5.1. Plumbing"/>
    <s v="TBD"/>
    <x v="4"/>
    <s v="N/A"/>
    <x v="2"/>
    <n v="0"/>
    <n v="0"/>
    <s v=""/>
    <m/>
    <m/>
    <n v="0"/>
    <n v="37.5"/>
    <n v="0"/>
    <n v="0"/>
    <n v="0"/>
    <n v="0"/>
    <m/>
    <n v="0"/>
  </r>
  <r>
    <x v="0"/>
    <x v="222"/>
    <x v="4"/>
    <s v="5.2. HVAC"/>
    <s v="Equipment"/>
    <x v="107"/>
    <s v="Maintenance"/>
    <x v="5"/>
    <n v="4"/>
    <n v="0"/>
    <s v="Each"/>
    <n v="1"/>
    <n v="2"/>
    <n v="1"/>
    <n v="37.5"/>
    <n v="37.5"/>
    <n v="0"/>
    <n v="0"/>
    <n v="50"/>
    <m/>
    <n v="350"/>
  </r>
  <r>
    <x v="0"/>
    <x v="223"/>
    <x v="4"/>
    <s v="5.2. HVAC"/>
    <s v="TBD"/>
    <x v="4"/>
    <s v="N/A"/>
    <x v="2"/>
    <n v="0"/>
    <n v="0"/>
    <s v=""/>
    <m/>
    <m/>
    <n v="0"/>
    <n v="37.5"/>
    <n v="0"/>
    <n v="0"/>
    <n v="0"/>
    <n v="0"/>
    <m/>
    <n v="0"/>
  </r>
  <r>
    <x v="0"/>
    <x v="224"/>
    <x v="4"/>
    <s v="5.2. HVAC"/>
    <s v="TBD"/>
    <x v="4"/>
    <s v="N/A"/>
    <x v="2"/>
    <n v="0"/>
    <n v="0"/>
    <s v=""/>
    <m/>
    <m/>
    <n v="0"/>
    <n v="37.5"/>
    <n v="0"/>
    <n v="0"/>
    <n v="0"/>
    <n v="0"/>
    <m/>
    <n v="0"/>
  </r>
  <r>
    <x v="0"/>
    <x v="225"/>
    <x v="4"/>
    <s v="5.2. HVAC"/>
    <s v="Equipment"/>
    <x v="108"/>
    <s v="Maintenance"/>
    <x v="0"/>
    <n v="1"/>
    <n v="0"/>
    <s v="Each"/>
    <n v="1"/>
    <n v="4"/>
    <n v="1"/>
    <n v="37.5"/>
    <n v="37.5"/>
    <n v="0"/>
    <n v="0"/>
    <n v="180"/>
    <m/>
    <n v="217.5"/>
  </r>
  <r>
    <x v="0"/>
    <x v="226"/>
    <x v="4"/>
    <s v="5.2. HVAC"/>
    <s v="Equipment"/>
    <x v="109"/>
    <s v="Maintenance"/>
    <x v="0"/>
    <n v="1"/>
    <n v="0"/>
    <s v="Each"/>
    <n v="1"/>
    <n v="2"/>
    <n v="1"/>
    <n v="37.5"/>
    <n v="37.5"/>
    <n v="0"/>
    <n v="0"/>
    <n v="0"/>
    <m/>
    <n v="37.5"/>
  </r>
  <r>
    <x v="0"/>
    <x v="227"/>
    <x v="4"/>
    <s v="5.2. HVAC"/>
    <s v="Equipment"/>
    <x v="110"/>
    <s v="Maintenance"/>
    <x v="0"/>
    <n v="1"/>
    <n v="0"/>
    <s v="Each"/>
    <n v="1"/>
    <n v="2"/>
    <n v="1"/>
    <n v="37.5"/>
    <n v="37.5"/>
    <n v="0"/>
    <n v="0"/>
    <n v="0"/>
    <m/>
    <n v="37.5"/>
  </r>
  <r>
    <x v="0"/>
    <x v="228"/>
    <x v="4"/>
    <s v="5.2. HVAC"/>
    <s v="Equipment (Commercial)"/>
    <x v="111"/>
    <s v="Maintenance"/>
    <x v="0"/>
    <n v="1"/>
    <n v="0"/>
    <s v="Each"/>
    <n v="1"/>
    <n v="6"/>
    <n v="1"/>
    <n v="37.5"/>
    <n v="37.5"/>
    <n v="0"/>
    <n v="0"/>
    <n v="0"/>
    <m/>
    <n v="37.5"/>
  </r>
  <r>
    <x v="0"/>
    <x v="229"/>
    <x v="4"/>
    <s v="5.2. HVAC"/>
    <s v="Ducting &amp; Distribution"/>
    <x v="112"/>
    <s v="Maintenance"/>
    <x v="0"/>
    <n v="1"/>
    <n v="0"/>
    <s v="Each"/>
    <n v="1"/>
    <n v="8"/>
    <n v="1"/>
    <n v="37.5"/>
    <n v="37.5"/>
    <n v="0"/>
    <n v="0"/>
    <n v="180"/>
    <m/>
    <n v="217.5"/>
  </r>
  <r>
    <x v="0"/>
    <x v="230"/>
    <x v="4"/>
    <s v="5.2. HVAC"/>
    <s v="Controls"/>
    <x v="113"/>
    <s v="Maintenance"/>
    <x v="0"/>
    <n v="1"/>
    <n v="0"/>
    <s v="Each"/>
    <n v="1"/>
    <n v="2"/>
    <n v="1"/>
    <n v="37.5"/>
    <n v="37.5"/>
    <n v="0"/>
    <n v="0"/>
    <n v="0"/>
    <m/>
    <n v="37.5"/>
  </r>
  <r>
    <x v="0"/>
    <x v="231"/>
    <x v="4"/>
    <s v="5.2. HVAC"/>
    <s v="Equipment"/>
    <x v="114"/>
    <s v="Maintenance"/>
    <x v="10"/>
    <n v="0.1"/>
    <n v="0"/>
    <s v="Each"/>
    <n v="1"/>
    <n v="4"/>
    <n v="1"/>
    <n v="37.5"/>
    <n v="37.5"/>
    <n v="0"/>
    <n v="400"/>
    <n v="0"/>
    <m/>
    <n v="43.75"/>
  </r>
  <r>
    <x v="0"/>
    <x v="232"/>
    <x v="4"/>
    <s v="5.2. HVAC"/>
    <s v="TBD"/>
    <x v="4"/>
    <s v="N/A"/>
    <x v="2"/>
    <n v="0"/>
    <n v="0"/>
    <s v=""/>
    <m/>
    <m/>
    <n v="0"/>
    <n v="37.5"/>
    <n v="0"/>
    <n v="0"/>
    <n v="0"/>
    <n v="0"/>
    <m/>
    <n v="0"/>
  </r>
  <r>
    <x v="0"/>
    <x v="233"/>
    <x v="4"/>
    <s v="5.5. Other"/>
    <s v="Consultant"/>
    <x v="115"/>
    <s v="Capital"/>
    <x v="6"/>
    <n v="0.2"/>
    <n v="0"/>
    <s v="Each"/>
    <n v="1"/>
    <n v="4"/>
    <n v="1"/>
    <n v="37.5"/>
    <n v="37.5"/>
    <n v="2500"/>
    <n v="0"/>
    <n v="0"/>
    <m/>
    <n v="507.5"/>
  </r>
  <r>
    <x v="0"/>
    <x v="234"/>
    <x v="4"/>
    <s v="5.5. Other"/>
    <s v="TBD"/>
    <x v="4"/>
    <s v="N/A"/>
    <x v="2"/>
    <n v="0"/>
    <n v="0"/>
    <s v=""/>
    <m/>
    <m/>
    <n v="0"/>
    <n v="37.5"/>
    <n v="0"/>
    <n v="0"/>
    <n v="0"/>
    <n v="0"/>
    <m/>
    <n v="0"/>
  </r>
  <r>
    <x v="0"/>
    <x v="235"/>
    <x v="4"/>
    <s v="5.5. Other"/>
    <s v="TBD"/>
    <x v="4"/>
    <s v="N/A"/>
    <x v="2"/>
    <n v="0"/>
    <n v="0"/>
    <s v=""/>
    <m/>
    <m/>
    <n v="0"/>
    <n v="37.5"/>
    <n v="0"/>
    <n v="0"/>
    <n v="0"/>
    <n v="0"/>
    <m/>
    <n v="0"/>
  </r>
  <r>
    <x v="0"/>
    <x v="236"/>
    <x v="4"/>
    <s v="5.5. Other"/>
    <s v="TBD"/>
    <x v="4"/>
    <s v="N/A"/>
    <x v="2"/>
    <n v="0"/>
    <n v="0"/>
    <s v=""/>
    <m/>
    <m/>
    <n v="0"/>
    <n v="37.5"/>
    <n v="0"/>
    <n v="0"/>
    <n v="0"/>
    <n v="0"/>
    <m/>
    <n v="0"/>
  </r>
  <r>
    <x v="0"/>
    <x v="237"/>
    <x v="5"/>
    <s v="6.1. Power"/>
    <s v="Main Supply (Exterior)"/>
    <x v="116"/>
    <s v="Maintenance"/>
    <x v="0"/>
    <n v="1"/>
    <n v="0"/>
    <s v="Each"/>
    <n v="1"/>
    <n v="4"/>
    <n v="1"/>
    <n v="37.5"/>
    <n v="37.5"/>
    <n v="0"/>
    <n v="0"/>
    <n v="0"/>
    <m/>
    <n v="37.5"/>
  </r>
  <r>
    <x v="0"/>
    <x v="238"/>
    <x v="5"/>
    <s v="6.1. Power"/>
    <s v="Main Supply (Exterior)"/>
    <x v="4"/>
    <s v="N/A"/>
    <x v="2"/>
    <n v="0"/>
    <n v="0"/>
    <s v=""/>
    <m/>
    <m/>
    <n v="0"/>
    <n v="37.5"/>
    <n v="0"/>
    <n v="0"/>
    <n v="0"/>
    <n v="0"/>
    <m/>
    <n v="0"/>
  </r>
  <r>
    <x v="0"/>
    <x v="239"/>
    <x v="5"/>
    <s v="6.1. Power"/>
    <s v="Distribution (Interior)"/>
    <x v="117"/>
    <s v="Maintenance"/>
    <x v="0"/>
    <n v="1"/>
    <n v="0"/>
    <s v="Each"/>
    <n v="1"/>
    <n v="4"/>
    <n v="1"/>
    <n v="37.5"/>
    <n v="37.5"/>
    <n v="0"/>
    <n v="0"/>
    <n v="0"/>
    <m/>
    <n v="37.5"/>
  </r>
  <r>
    <x v="0"/>
    <x v="240"/>
    <x v="5"/>
    <s v="6.1. Power"/>
    <s v="Distribution"/>
    <x v="118"/>
    <s v="Maintenance"/>
    <x v="2"/>
    <n v="1"/>
    <n v="0"/>
    <s v="Each"/>
    <n v="1"/>
    <n v="2"/>
    <n v="1"/>
    <n v="37.5"/>
    <n v="37.5"/>
    <n v="0"/>
    <n v="0"/>
    <n v="0"/>
    <m/>
    <n v="37.5"/>
  </r>
  <r>
    <x v="0"/>
    <x v="241"/>
    <x v="5"/>
    <s v="6.1. Power"/>
    <s v="TBD"/>
    <x v="4"/>
    <s v="N/A"/>
    <x v="2"/>
    <n v="0"/>
    <n v="0"/>
    <s v=""/>
    <m/>
    <m/>
    <n v="0"/>
    <n v="37.5"/>
    <n v="0"/>
    <n v="0"/>
    <n v="0"/>
    <n v="0"/>
    <m/>
    <n v="0"/>
  </r>
  <r>
    <x v="0"/>
    <x v="242"/>
    <x v="5"/>
    <s v="6.1. Power"/>
    <s v="TBD"/>
    <x v="4"/>
    <s v="N/A"/>
    <x v="2"/>
    <n v="0"/>
    <n v="0"/>
    <s v=""/>
    <m/>
    <m/>
    <n v="0"/>
    <n v="37.5"/>
    <n v="0"/>
    <n v="0"/>
    <n v="0"/>
    <n v="0"/>
    <m/>
    <n v="0"/>
  </r>
  <r>
    <x v="0"/>
    <x v="243"/>
    <x v="5"/>
    <s v="6.1. Power"/>
    <s v="TBD"/>
    <x v="4"/>
    <s v="N/A"/>
    <x v="2"/>
    <n v="0"/>
    <n v="0"/>
    <s v=""/>
    <m/>
    <m/>
    <n v="0"/>
    <n v="37.5"/>
    <n v="0"/>
    <n v="0"/>
    <n v="0"/>
    <n v="0"/>
    <m/>
    <n v="0"/>
  </r>
  <r>
    <x v="0"/>
    <x v="244"/>
    <x v="5"/>
    <s v="6.1. Power"/>
    <s v="TBD"/>
    <x v="4"/>
    <s v="N/A"/>
    <x v="2"/>
    <n v="0"/>
    <n v="0"/>
    <s v=""/>
    <m/>
    <m/>
    <n v="0"/>
    <n v="37.5"/>
    <n v="0"/>
    <n v="0"/>
    <n v="0"/>
    <n v="0"/>
    <m/>
    <n v="0"/>
  </r>
  <r>
    <x v="0"/>
    <x v="245"/>
    <x v="5"/>
    <s v="6.2. Lighting"/>
    <s v="Fixtures"/>
    <x v="119"/>
    <s v="Maintenance"/>
    <x v="7"/>
    <n v="0.33333333333333331"/>
    <n v="0"/>
    <s v="Each"/>
    <n v="1"/>
    <n v="0.5"/>
    <n v="1"/>
    <n v="37.5"/>
    <n v="37.5"/>
    <n v="0"/>
    <n v="0"/>
    <n v="5"/>
    <m/>
    <n v="14.166666666666666"/>
  </r>
  <r>
    <x v="0"/>
    <x v="246"/>
    <x v="5"/>
    <s v="6.2. Lighting"/>
    <s v="TBD"/>
    <x v="4"/>
    <s v="N/A"/>
    <x v="2"/>
    <n v="0"/>
    <n v="0"/>
    <s v=""/>
    <m/>
    <m/>
    <n v="0"/>
    <n v="37.5"/>
    <n v="0"/>
    <n v="0"/>
    <n v="0"/>
    <n v="0"/>
    <m/>
    <n v="0"/>
  </r>
  <r>
    <x v="0"/>
    <x v="247"/>
    <x v="5"/>
    <s v="6.2. Lighting"/>
    <s v="TBD"/>
    <x v="4"/>
    <s v="N/A"/>
    <x v="2"/>
    <n v="0"/>
    <n v="0"/>
    <s v=""/>
    <m/>
    <m/>
    <n v="0"/>
    <n v="37.5"/>
    <n v="0"/>
    <n v="0"/>
    <n v="0"/>
    <n v="0"/>
    <m/>
    <n v="0"/>
  </r>
  <r>
    <x v="0"/>
    <x v="248"/>
    <x v="5"/>
    <s v="6.2. Lighting"/>
    <s v="TBD"/>
    <x v="4"/>
    <s v="N/A"/>
    <x v="2"/>
    <n v="1"/>
    <n v="0"/>
    <s v=""/>
    <m/>
    <m/>
    <n v="0"/>
    <n v="37.5"/>
    <n v="0"/>
    <n v="0"/>
    <n v="0"/>
    <n v="0"/>
    <m/>
    <n v="0"/>
  </r>
  <r>
    <x v="0"/>
    <x v="249"/>
    <x v="5"/>
    <s v="6.2. Lighting"/>
    <s v="TBD"/>
    <x v="4"/>
    <s v="N/A"/>
    <x v="2"/>
    <n v="1"/>
    <n v="0"/>
    <s v=""/>
    <m/>
    <m/>
    <n v="0"/>
    <n v="37.5"/>
    <n v="0"/>
    <n v="0"/>
    <n v="0"/>
    <n v="0"/>
    <m/>
    <n v="0"/>
  </r>
  <r>
    <x v="0"/>
    <x v="250"/>
    <x v="5"/>
    <s v="6.2. Lighting"/>
    <s v="Fixtures"/>
    <x v="120"/>
    <s v="Capital"/>
    <x v="10"/>
    <n v="0.1"/>
    <n v="0"/>
    <s v="Each"/>
    <n v="1"/>
    <n v="2"/>
    <n v="1"/>
    <n v="37.5"/>
    <n v="37.5"/>
    <n v="0"/>
    <n v="0"/>
    <n v="0"/>
    <m/>
    <n v="3.75"/>
  </r>
  <r>
    <x v="0"/>
    <x v="251"/>
    <x v="5"/>
    <s v="6.2. Lighting"/>
    <s v="Fixtures"/>
    <x v="121"/>
    <s v="Capital"/>
    <x v="13"/>
    <n v="6.6666666666666666E-2"/>
    <n v="0"/>
    <s v="Each"/>
    <n v="1"/>
    <n v="2"/>
    <n v="1"/>
    <n v="37.5"/>
    <n v="37.5"/>
    <n v="0"/>
    <n v="0"/>
    <n v="0"/>
    <m/>
    <n v="2.5"/>
  </r>
  <r>
    <x v="0"/>
    <x v="252"/>
    <x v="5"/>
    <s v="6.2. Lighting"/>
    <s v="Fixtures"/>
    <x v="122"/>
    <s v="Maintenance"/>
    <x v="2"/>
    <n v="1"/>
    <n v="0"/>
    <s v="Each"/>
    <n v="1"/>
    <n v="2"/>
    <n v="1"/>
    <n v="37.5"/>
    <n v="37.5"/>
    <n v="0"/>
    <n v="0"/>
    <n v="0"/>
    <m/>
    <n v="37.5"/>
  </r>
  <r>
    <x v="0"/>
    <x v="253"/>
    <x v="5"/>
    <s v="6.2. Lighting"/>
    <s v="Controls"/>
    <x v="123"/>
    <s v="Maintenance"/>
    <x v="0"/>
    <n v="1"/>
    <n v="0"/>
    <s v="Each"/>
    <n v="1"/>
    <n v="4"/>
    <n v="1"/>
    <n v="37.5"/>
    <n v="37.5"/>
    <n v="0"/>
    <n v="0"/>
    <n v="0"/>
    <m/>
    <n v="37.5"/>
  </r>
  <r>
    <x v="0"/>
    <x v="254"/>
    <x v="5"/>
    <s v="6.2. Lighting"/>
    <s v="Emergency &amp; Exit"/>
    <x v="124"/>
    <s v="Maintenance"/>
    <x v="0"/>
    <n v="1"/>
    <n v="0"/>
    <s v="Each"/>
    <n v="1"/>
    <n v="6"/>
    <n v="1"/>
    <n v="37.5"/>
    <n v="37.5"/>
    <n v="0"/>
    <n v="0"/>
    <n v="0"/>
    <m/>
    <n v="37.5"/>
  </r>
  <r>
    <x v="0"/>
    <x v="255"/>
    <x v="5"/>
    <s v="6.2. Lighting"/>
    <s v="TBD"/>
    <x v="4"/>
    <s v="N/A"/>
    <x v="2"/>
    <n v="0"/>
    <n v="0"/>
    <s v=""/>
    <m/>
    <m/>
    <n v="0"/>
    <n v="37.5"/>
    <n v="0"/>
    <n v="0"/>
    <n v="0"/>
    <n v="0"/>
    <m/>
    <n v="0"/>
  </r>
  <r>
    <x v="0"/>
    <x v="256"/>
    <x v="5"/>
    <s v="6.2. Lighting"/>
    <s v="TBD"/>
    <x v="4"/>
    <s v="N/A"/>
    <x v="2"/>
    <n v="0"/>
    <n v="0"/>
    <s v=""/>
    <m/>
    <m/>
    <n v="0"/>
    <n v="37.5"/>
    <n v="0"/>
    <n v="0"/>
    <n v="0"/>
    <n v="0"/>
    <m/>
    <n v="0"/>
  </r>
  <r>
    <x v="0"/>
    <x v="257"/>
    <x v="5"/>
    <s v="6.2. Lighting"/>
    <s v="TBD"/>
    <x v="4"/>
    <s v="N/A"/>
    <x v="2"/>
    <n v="0"/>
    <n v="0"/>
    <s v=""/>
    <m/>
    <m/>
    <n v="0"/>
    <n v="37.5"/>
    <n v="0"/>
    <n v="0"/>
    <n v="0"/>
    <n v="0"/>
    <m/>
    <n v="0"/>
  </r>
  <r>
    <x v="0"/>
    <x v="258"/>
    <x v="5"/>
    <s v="6.3. Communications"/>
    <s v="Public Address"/>
    <x v="125"/>
    <s v="N/A"/>
    <x v="2"/>
    <n v="1"/>
    <n v="0"/>
    <s v="Each"/>
    <m/>
    <n v="2"/>
    <n v="0"/>
    <n v="37.5"/>
    <n v="0"/>
    <n v="0"/>
    <n v="0"/>
    <n v="50"/>
    <m/>
    <n v="50"/>
  </r>
  <r>
    <x v="0"/>
    <x v="259"/>
    <x v="5"/>
    <s v="6.3. Communications"/>
    <s v="Phone &amp; Data"/>
    <x v="126"/>
    <s v="Maintenance"/>
    <x v="2"/>
    <n v="1"/>
    <n v="0"/>
    <s v="Each"/>
    <n v="1"/>
    <n v="2"/>
    <n v="1"/>
    <n v="37.5"/>
    <n v="37.5"/>
    <n v="0"/>
    <n v="0"/>
    <n v="0"/>
    <m/>
    <n v="37.5"/>
  </r>
  <r>
    <x v="0"/>
    <x v="260"/>
    <x v="5"/>
    <s v="6.3. Communications"/>
    <s v="TBD"/>
    <x v="4"/>
    <s v="N/A"/>
    <x v="2"/>
    <n v="0"/>
    <n v="0"/>
    <s v=""/>
    <m/>
    <m/>
    <n v="0"/>
    <n v="37.5"/>
    <n v="0"/>
    <n v="0"/>
    <n v="0"/>
    <n v="0"/>
    <m/>
    <n v="0"/>
  </r>
  <r>
    <x v="0"/>
    <x v="261"/>
    <x v="5"/>
    <s v="6.3. Communications"/>
    <s v="TBD"/>
    <x v="4"/>
    <s v="N/A"/>
    <x v="2"/>
    <n v="0"/>
    <n v="0"/>
    <s v=""/>
    <m/>
    <m/>
    <n v="0"/>
    <n v="37.5"/>
    <n v="0"/>
    <n v="0"/>
    <n v="0"/>
    <n v="0"/>
    <m/>
    <n v="0"/>
  </r>
  <r>
    <x v="0"/>
    <x v="262"/>
    <x v="5"/>
    <s v="6.3. Communications"/>
    <s v="TBD"/>
    <x v="4"/>
    <s v="N/A"/>
    <x v="2"/>
    <n v="0"/>
    <n v="0"/>
    <s v=""/>
    <m/>
    <m/>
    <n v="0"/>
    <n v="37.5"/>
    <n v="0"/>
    <n v="0"/>
    <n v="0"/>
    <n v="0"/>
    <m/>
    <n v="0"/>
  </r>
  <r>
    <x v="0"/>
    <x v="263"/>
    <x v="5"/>
    <s v="6.3. Communications"/>
    <s v="TBD"/>
    <x v="4"/>
    <s v="N/A"/>
    <x v="2"/>
    <n v="0"/>
    <n v="0"/>
    <s v=""/>
    <m/>
    <m/>
    <n v="0"/>
    <n v="37.5"/>
    <n v="0"/>
    <n v="0"/>
    <n v="0"/>
    <n v="0"/>
    <m/>
    <n v="0"/>
  </r>
  <r>
    <x v="0"/>
    <x v="264"/>
    <x v="5"/>
    <s v="6.4. Alarms"/>
    <s v="Fire &amp; Smoke"/>
    <x v="127"/>
    <s v="Maintenance"/>
    <x v="0"/>
    <n v="1"/>
    <n v="0"/>
    <s v="Each"/>
    <n v="1"/>
    <n v="4"/>
    <n v="1"/>
    <n v="37.5"/>
    <n v="37.5"/>
    <n v="0"/>
    <n v="0"/>
    <n v="0"/>
    <m/>
    <n v="37.5"/>
  </r>
  <r>
    <x v="0"/>
    <x v="265"/>
    <x v="5"/>
    <s v="6.4. Alarms"/>
    <s v="Intruder"/>
    <x v="128"/>
    <s v="Maintenance"/>
    <x v="0"/>
    <n v="1"/>
    <n v="0"/>
    <s v="Each"/>
    <n v="1"/>
    <n v="4"/>
    <n v="1"/>
    <n v="37.5"/>
    <n v="37.5"/>
    <n v="0"/>
    <n v="0"/>
    <n v="0"/>
    <m/>
    <n v="37.5"/>
  </r>
  <r>
    <x v="0"/>
    <x v="266"/>
    <x v="5"/>
    <s v="6.4. Alarms"/>
    <s v="TBD"/>
    <x v="4"/>
    <s v="N/A"/>
    <x v="2"/>
    <n v="0"/>
    <n v="0"/>
    <s v=""/>
    <m/>
    <m/>
    <n v="0"/>
    <n v="37.5"/>
    <n v="0"/>
    <n v="0"/>
    <n v="0"/>
    <n v="0"/>
    <m/>
    <n v="0"/>
  </r>
  <r>
    <x v="0"/>
    <x v="267"/>
    <x v="5"/>
    <s v="6.4. Alarms"/>
    <s v="TBD"/>
    <x v="4"/>
    <s v="N/A"/>
    <x v="2"/>
    <n v="0"/>
    <n v="0"/>
    <s v=""/>
    <m/>
    <m/>
    <n v="0"/>
    <n v="37.5"/>
    <n v="0"/>
    <n v="0"/>
    <n v="0"/>
    <n v="0"/>
    <m/>
    <n v="0"/>
  </r>
  <r>
    <x v="0"/>
    <x v="268"/>
    <x v="5"/>
    <s v="6.4. Alarms"/>
    <s v="TBD"/>
    <x v="4"/>
    <s v="N/A"/>
    <x v="2"/>
    <n v="0"/>
    <n v="0"/>
    <s v=""/>
    <m/>
    <m/>
    <n v="0"/>
    <n v="37.5"/>
    <n v="0"/>
    <n v="0"/>
    <n v="0"/>
    <n v="0"/>
    <m/>
    <n v="0"/>
  </r>
  <r>
    <x v="0"/>
    <x v="269"/>
    <x v="5"/>
    <s v="6.4. Alarms"/>
    <s v="TBD"/>
    <x v="4"/>
    <s v="N/A"/>
    <x v="2"/>
    <n v="0"/>
    <n v="0"/>
    <s v=""/>
    <m/>
    <m/>
    <n v="0"/>
    <n v="37.5"/>
    <n v="0"/>
    <n v="0"/>
    <n v="0"/>
    <n v="0"/>
    <m/>
    <n v="0"/>
  </r>
  <r>
    <x v="0"/>
    <x v="270"/>
    <x v="5"/>
    <s v="6.5. Back-up Power"/>
    <s v="Generator"/>
    <x v="129"/>
    <s v="Maintenance"/>
    <x v="0"/>
    <n v="1"/>
    <n v="0"/>
    <s v="Each"/>
    <n v="1"/>
    <n v="4"/>
    <n v="1"/>
    <n v="37.5"/>
    <n v="37.5"/>
    <n v="0"/>
    <n v="0"/>
    <n v="0"/>
    <m/>
    <n v="37.5"/>
  </r>
  <r>
    <x v="0"/>
    <x v="271"/>
    <x v="5"/>
    <s v="6.5. Back-up Power"/>
    <s v="Generator"/>
    <x v="130"/>
    <s v="Maintenance"/>
    <x v="4"/>
    <n v="12"/>
    <n v="0"/>
    <s v="Each"/>
    <n v="1"/>
    <n v="2"/>
    <n v="1"/>
    <n v="37.5"/>
    <n v="37.5"/>
    <n v="0"/>
    <n v="0"/>
    <n v="0"/>
    <m/>
    <n v="450"/>
  </r>
  <r>
    <x v="0"/>
    <x v="272"/>
    <x v="5"/>
    <s v="6.5. Back-up Power"/>
    <s v="Generator"/>
    <x v="131"/>
    <s v="Maintenance"/>
    <x v="5"/>
    <n v="4"/>
    <n v="0"/>
    <s v="Enter Monthly Charge or 0 if N/A"/>
    <n v="1"/>
    <n v="1"/>
    <n v="1"/>
    <n v="37.5"/>
    <n v="37.5"/>
    <n v="0"/>
    <n v="0"/>
    <n v="1000"/>
    <m/>
    <n v="4150"/>
  </r>
  <r>
    <x v="0"/>
    <x v="273"/>
    <x v="5"/>
    <s v="6.5. Back-up Power"/>
    <s v="TBD"/>
    <x v="4"/>
    <s v="N/A"/>
    <x v="2"/>
    <n v="0"/>
    <n v="0"/>
    <s v=""/>
    <m/>
    <m/>
    <n v="0"/>
    <n v="37.5"/>
    <n v="0"/>
    <n v="0"/>
    <n v="0"/>
    <n v="0"/>
    <m/>
    <n v="0"/>
  </r>
  <r>
    <x v="0"/>
    <x v="274"/>
    <x v="5"/>
    <s v="6.5. Back-up Power"/>
    <s v="TBD"/>
    <x v="4"/>
    <s v="N/A"/>
    <x v="2"/>
    <n v="0"/>
    <n v="0"/>
    <s v=""/>
    <m/>
    <m/>
    <n v="0"/>
    <n v="37.5"/>
    <n v="0"/>
    <n v="0"/>
    <n v="0"/>
    <n v="0"/>
    <m/>
    <n v="0"/>
  </r>
  <r>
    <x v="0"/>
    <x v="275"/>
    <x v="5"/>
    <s v="6.5. Back-up Power"/>
    <s v="TBD"/>
    <x v="4"/>
    <s v="N/A"/>
    <x v="2"/>
    <n v="0"/>
    <n v="0"/>
    <s v=""/>
    <m/>
    <m/>
    <n v="0"/>
    <n v="37.5"/>
    <n v="0"/>
    <n v="0"/>
    <n v="0"/>
    <n v="0"/>
    <m/>
    <n v="0"/>
  </r>
  <r>
    <x v="0"/>
    <x v="276"/>
    <x v="5"/>
    <s v="6.6. Other"/>
    <s v="Consultant"/>
    <x v="132"/>
    <s v="Capital"/>
    <x v="6"/>
    <n v="0.2"/>
    <n v="0"/>
    <s v="Each"/>
    <n v="1"/>
    <n v="4"/>
    <n v="1"/>
    <n v="37.5"/>
    <n v="37.5"/>
    <n v="2000"/>
    <n v="0"/>
    <n v="0"/>
    <m/>
    <n v="407.5"/>
  </r>
  <r>
    <x v="0"/>
    <x v="277"/>
    <x v="5"/>
    <s v="6.6. Other"/>
    <s v="TBD"/>
    <x v="4"/>
    <s v="N/A"/>
    <x v="2"/>
    <n v="0"/>
    <n v="0"/>
    <s v=""/>
    <m/>
    <m/>
    <n v="0"/>
    <n v="37.5"/>
    <n v="0"/>
    <n v="0"/>
    <n v="0"/>
    <n v="0"/>
    <m/>
    <n v="0"/>
  </r>
  <r>
    <x v="0"/>
    <x v="278"/>
    <x v="5"/>
    <s v="6.6. Other"/>
    <s v="TBD"/>
    <x v="4"/>
    <s v="N/A"/>
    <x v="2"/>
    <n v="0"/>
    <n v="0"/>
    <s v=""/>
    <m/>
    <m/>
    <n v="0"/>
    <n v="37.5"/>
    <n v="0"/>
    <n v="0"/>
    <n v="0"/>
    <n v="0"/>
    <m/>
    <n v="0"/>
  </r>
  <r>
    <x v="0"/>
    <x v="279"/>
    <x v="5"/>
    <s v="6.6. Other"/>
    <s v="TBD"/>
    <x v="4"/>
    <s v="N/A"/>
    <x v="2"/>
    <n v="0"/>
    <n v="0"/>
    <s v=""/>
    <m/>
    <m/>
    <n v="0"/>
    <n v="37.5"/>
    <n v="0"/>
    <n v="0"/>
    <n v="0"/>
    <n v="0"/>
    <m/>
    <n v="0"/>
  </r>
  <r>
    <x v="0"/>
    <x v="280"/>
    <x v="6"/>
    <s v="7.1. Fire Suppression"/>
    <s v="Fire Sprinkler "/>
    <x v="133"/>
    <s v="Maintenance"/>
    <x v="0"/>
    <n v="1"/>
    <n v="0"/>
    <s v="Each"/>
    <n v="1"/>
    <n v="4"/>
    <n v="1"/>
    <n v="37.5"/>
    <n v="37.5"/>
    <n v="0"/>
    <n v="0"/>
    <n v="0"/>
    <m/>
    <n v="37.5"/>
  </r>
  <r>
    <x v="0"/>
    <x v="281"/>
    <x v="6"/>
    <s v="7.1. Fire Suppression"/>
    <s v="Extinguishers"/>
    <x v="134"/>
    <s v="Maintenance"/>
    <x v="2"/>
    <n v="1"/>
    <n v="0"/>
    <s v="Each"/>
    <n v="1"/>
    <n v="2"/>
    <n v="1"/>
    <n v="37.5"/>
    <n v="37.5"/>
    <n v="0"/>
    <n v="0"/>
    <n v="300"/>
    <m/>
    <n v="337.5"/>
  </r>
  <r>
    <x v="0"/>
    <x v="282"/>
    <x v="6"/>
    <s v="7.1. Fire Suppression"/>
    <s v="TBD"/>
    <x v="4"/>
    <s v="N/A"/>
    <x v="2"/>
    <n v="0"/>
    <n v="0"/>
    <s v=""/>
    <m/>
    <m/>
    <n v="0"/>
    <n v="37.5"/>
    <n v="0"/>
    <n v="0"/>
    <n v="0"/>
    <n v="0"/>
    <m/>
    <n v="0"/>
  </r>
  <r>
    <x v="0"/>
    <x v="283"/>
    <x v="6"/>
    <s v="7.1. Fire Suppression"/>
    <s v="TBD"/>
    <x v="4"/>
    <s v="N/A"/>
    <x v="2"/>
    <n v="0"/>
    <n v="0"/>
    <s v=""/>
    <m/>
    <m/>
    <n v="0"/>
    <n v="37.5"/>
    <n v="0"/>
    <n v="0"/>
    <n v="0"/>
    <n v="0"/>
    <m/>
    <n v="0"/>
  </r>
  <r>
    <x v="0"/>
    <x v="284"/>
    <x v="6"/>
    <s v="7.1. Fire Suppression"/>
    <s v="TBD"/>
    <x v="4"/>
    <s v="N/A"/>
    <x v="2"/>
    <n v="0"/>
    <n v="0"/>
    <s v=""/>
    <m/>
    <m/>
    <n v="0"/>
    <n v="37.5"/>
    <n v="0"/>
    <n v="0"/>
    <n v="0"/>
    <n v="0"/>
    <m/>
    <n v="0"/>
  </r>
  <r>
    <x v="0"/>
    <x v="285"/>
    <x v="6"/>
    <s v="7.1. Fire Suppression"/>
    <s v="Fire Sprinkler "/>
    <x v="135"/>
    <s v="Capital"/>
    <x v="10"/>
    <n v="0.1"/>
    <n v="0"/>
    <s v="m"/>
    <n v="1"/>
    <n v="1.6"/>
    <n v="1"/>
    <n v="37.5"/>
    <n v="37.5"/>
    <n v="0"/>
    <n v="400"/>
    <n v="250"/>
    <m/>
    <n v="68.75"/>
  </r>
  <r>
    <x v="0"/>
    <x v="286"/>
    <x v="6"/>
    <s v="7.1. Fire Suppression"/>
    <s v="Fire Sprinkler "/>
    <x v="136"/>
    <s v="Capital"/>
    <x v="10"/>
    <n v="0.1"/>
    <n v="0"/>
    <s v="Each"/>
    <n v="1"/>
    <n v="2"/>
    <n v="1"/>
    <n v="37.5"/>
    <n v="37.5"/>
    <n v="0"/>
    <n v="0"/>
    <n v="0"/>
    <m/>
    <n v="3.75"/>
  </r>
  <r>
    <x v="0"/>
    <x v="287"/>
    <x v="6"/>
    <s v="7.1. Fire Suppression"/>
    <s v="Fire Sprinkler "/>
    <x v="137"/>
    <s v="Capital"/>
    <x v="10"/>
    <n v="0.1"/>
    <n v="0"/>
    <s v="Each"/>
    <n v="1"/>
    <n v="4"/>
    <n v="1"/>
    <n v="37.5"/>
    <n v="37.5"/>
    <n v="0"/>
    <n v="0"/>
    <n v="0"/>
    <m/>
    <n v="3.75"/>
  </r>
  <r>
    <x v="0"/>
    <x v="288"/>
    <x v="6"/>
    <s v="7.1. Fire Suppression"/>
    <s v="Fire Sprinkler "/>
    <x v="138"/>
    <s v="Capital"/>
    <x v="10"/>
    <n v="0.1"/>
    <n v="0"/>
    <s v="Each"/>
    <n v="1"/>
    <n v="4"/>
    <n v="1"/>
    <n v="37.5"/>
    <n v="37.5"/>
    <n v="0"/>
    <n v="0"/>
    <n v="0"/>
    <m/>
    <n v="3.75"/>
  </r>
  <r>
    <x v="0"/>
    <x v="289"/>
    <x v="6"/>
    <s v="7.1. Fire Suppression"/>
    <s v="Water Supply"/>
    <x v="139"/>
    <s v="Maintenance"/>
    <x v="0"/>
    <n v="1"/>
    <n v="0"/>
    <s v="Each"/>
    <n v="1"/>
    <n v="4"/>
    <n v="1"/>
    <n v="37.5"/>
    <n v="37.5"/>
    <n v="0"/>
    <n v="0"/>
    <n v="0"/>
    <m/>
    <n v="37.5"/>
  </r>
  <r>
    <x v="0"/>
    <x v="290"/>
    <x v="6"/>
    <s v="7.1. Fire Suppression"/>
    <s v="Water Supply"/>
    <x v="140"/>
    <s v="Capital"/>
    <x v="12"/>
    <n v="0.05"/>
    <n v="0"/>
    <s v="Each"/>
    <n v="1"/>
    <n v="4"/>
    <n v="1"/>
    <n v="37.5"/>
    <n v="37.5"/>
    <n v="0"/>
    <n v="0"/>
    <n v="0"/>
    <m/>
    <n v="1.875"/>
  </r>
  <r>
    <x v="0"/>
    <x v="291"/>
    <x v="6"/>
    <s v="7.1. Fire Suppression"/>
    <s v="Kitchen Exhaust Hood"/>
    <x v="141"/>
    <s v="Maintenance"/>
    <x v="0"/>
    <n v="1"/>
    <n v="0"/>
    <s v="Each"/>
    <n v="1"/>
    <n v="4"/>
    <n v="1"/>
    <n v="37.5"/>
    <n v="37.5"/>
    <n v="0"/>
    <n v="0"/>
    <n v="0"/>
    <m/>
    <n v="37.5"/>
  </r>
  <r>
    <x v="0"/>
    <x v="292"/>
    <x v="6"/>
    <s v="7.1. Fire Suppression"/>
    <s v="Extinguishers"/>
    <x v="142"/>
    <s v="Maintenance"/>
    <x v="0"/>
    <n v="1"/>
    <n v="0"/>
    <s v="Each"/>
    <n v="1"/>
    <n v="0"/>
    <n v="1"/>
    <n v="37.5"/>
    <n v="37.5"/>
    <n v="0"/>
    <n v="0"/>
    <n v="0"/>
    <m/>
    <n v="37.5"/>
  </r>
  <r>
    <x v="0"/>
    <x v="293"/>
    <x v="6"/>
    <s v="7.2. Other"/>
    <s v="Consultant"/>
    <x v="143"/>
    <s v="Capital"/>
    <x v="6"/>
    <n v="0.2"/>
    <n v="0"/>
    <s v="Each"/>
    <n v="1"/>
    <n v="4"/>
    <n v="1"/>
    <n v="37.5"/>
    <n v="37.5"/>
    <n v="2500"/>
    <n v="0"/>
    <n v="0"/>
    <m/>
    <n v="507.5"/>
  </r>
  <r>
    <x v="0"/>
    <x v="294"/>
    <x v="6"/>
    <s v="7.2. Other"/>
    <s v="TBD"/>
    <x v="4"/>
    <s v="N/A"/>
    <x v="2"/>
    <n v="0"/>
    <n v="0"/>
    <s v=""/>
    <m/>
    <m/>
    <n v="0"/>
    <n v="37.5"/>
    <n v="0"/>
    <n v="0"/>
    <n v="0"/>
    <n v="0"/>
    <m/>
    <n v="0"/>
  </r>
  <r>
    <x v="0"/>
    <x v="295"/>
    <x v="6"/>
    <s v="7.2. Other"/>
    <s v="TBD"/>
    <x v="4"/>
    <s v="N/A"/>
    <x v="2"/>
    <n v="0"/>
    <n v="0"/>
    <s v=""/>
    <m/>
    <m/>
    <n v="0"/>
    <n v="37.5"/>
    <n v="0"/>
    <n v="0"/>
    <n v="0"/>
    <n v="0"/>
    <m/>
    <n v="0"/>
  </r>
  <r>
    <x v="0"/>
    <x v="296"/>
    <x v="6"/>
    <s v="7.2. Other"/>
    <s v="TBD"/>
    <x v="4"/>
    <s v="N/A"/>
    <x v="2"/>
    <n v="0"/>
    <n v="0"/>
    <s v=""/>
    <m/>
    <m/>
    <n v="0"/>
    <n v="37.5"/>
    <n v="0"/>
    <n v="0"/>
    <n v="0"/>
    <n v="0"/>
    <m/>
    <n v="0"/>
  </r>
  <r>
    <x v="0"/>
    <x v="297"/>
    <x v="7"/>
    <s v="8.1. Elevators &amp; Lifts"/>
    <s v="Elevator"/>
    <x v="144"/>
    <s v="Maintenance"/>
    <x v="0"/>
    <n v="1"/>
    <n v="0"/>
    <s v="Each"/>
    <n v="1"/>
    <n v="4"/>
    <n v="1"/>
    <n v="37.5"/>
    <n v="37.5"/>
    <n v="0"/>
    <n v="0"/>
    <n v="0"/>
    <m/>
    <n v="37.5"/>
  </r>
  <r>
    <x v="0"/>
    <x v="298"/>
    <x v="7"/>
    <s v="8.1. Elevators &amp; Lifts"/>
    <s v="HC Lift"/>
    <x v="145"/>
    <s v="Maintenance"/>
    <x v="0"/>
    <n v="0"/>
    <n v="0"/>
    <s v="Each"/>
    <n v="1"/>
    <n v="4"/>
    <n v="1"/>
    <n v="37.5"/>
    <n v="37.5"/>
    <n v="0"/>
    <n v="0"/>
    <n v="0"/>
    <m/>
    <n v="0"/>
  </r>
  <r>
    <x v="0"/>
    <x v="299"/>
    <x v="7"/>
    <s v="8.1. Elevators &amp; Lifts"/>
    <s v="Stairwell Chair Lift"/>
    <x v="146"/>
    <s v="Maintenance"/>
    <x v="0"/>
    <n v="1"/>
    <n v="0"/>
    <s v="Each"/>
    <n v="1"/>
    <n v="4"/>
    <n v="1"/>
    <n v="37.5"/>
    <n v="37.5"/>
    <n v="0"/>
    <n v="0"/>
    <n v="0"/>
    <m/>
    <n v="37.5"/>
  </r>
  <r>
    <x v="0"/>
    <x v="300"/>
    <x v="7"/>
    <s v="8.1. Elevators &amp; Lifts"/>
    <s v="TBD"/>
    <x v="4"/>
    <s v="N/A"/>
    <x v="2"/>
    <n v="0"/>
    <n v="0"/>
    <s v=""/>
    <m/>
    <m/>
    <n v="0"/>
    <n v="37.5"/>
    <n v="0"/>
    <n v="0"/>
    <n v="0"/>
    <n v="0"/>
    <m/>
    <n v="0"/>
  </r>
  <r>
    <x v="0"/>
    <x v="301"/>
    <x v="7"/>
    <s v="8.1. Elevators &amp; Lifts"/>
    <s v="TBD"/>
    <x v="4"/>
    <s v="N/A"/>
    <x v="2"/>
    <n v="0"/>
    <n v="0"/>
    <s v=""/>
    <m/>
    <m/>
    <n v="0"/>
    <n v="37.5"/>
    <n v="0"/>
    <n v="0"/>
    <n v="0"/>
    <n v="0"/>
    <m/>
    <n v="0"/>
  </r>
  <r>
    <x v="0"/>
    <x v="302"/>
    <x v="7"/>
    <s v="8.1. Elevators &amp; Lifts"/>
    <s v="TBD"/>
    <x v="4"/>
    <s v="N/A"/>
    <x v="2"/>
    <n v="0"/>
    <n v="0"/>
    <s v=""/>
    <m/>
    <m/>
    <n v="0"/>
    <n v="37.5"/>
    <n v="0"/>
    <n v="0"/>
    <n v="0"/>
    <n v="0"/>
    <m/>
    <n v="0"/>
  </r>
  <r>
    <x v="0"/>
    <x v="303"/>
    <x v="7"/>
    <s v="8.2. Other"/>
    <s v="Consultant"/>
    <x v="147"/>
    <s v="Capital"/>
    <x v="6"/>
    <n v="0"/>
    <n v="0"/>
    <s v="Each"/>
    <n v="1"/>
    <n v="4"/>
    <n v="1"/>
    <n v="37.5"/>
    <n v="37.5"/>
    <n v="0"/>
    <n v="0"/>
    <n v="0"/>
    <m/>
    <n v="0"/>
  </r>
  <r>
    <x v="0"/>
    <x v="304"/>
    <x v="7"/>
    <s v="8.2. Other"/>
    <s v="TBD"/>
    <x v="4"/>
    <s v="N/A"/>
    <x v="2"/>
    <n v="0"/>
    <n v="0"/>
    <s v=""/>
    <m/>
    <m/>
    <n v="0"/>
    <n v="37.5"/>
    <n v="0"/>
    <n v="0"/>
    <n v="0"/>
    <n v="0"/>
    <m/>
    <n v="0"/>
  </r>
  <r>
    <x v="0"/>
    <x v="305"/>
    <x v="7"/>
    <s v="8.2. Other"/>
    <s v="TBD"/>
    <x v="4"/>
    <s v="N/A"/>
    <x v="2"/>
    <n v="0"/>
    <n v="0"/>
    <s v=""/>
    <m/>
    <m/>
    <n v="0"/>
    <n v="37.5"/>
    <n v="0"/>
    <n v="0"/>
    <n v="0"/>
    <n v="0"/>
    <m/>
    <n v="0"/>
  </r>
  <r>
    <x v="0"/>
    <x v="306"/>
    <x v="7"/>
    <s v="8.2. Other"/>
    <s v="TBD"/>
    <x v="4"/>
    <s v="N/A"/>
    <x v="2"/>
    <n v="0"/>
    <n v="0"/>
    <s v=""/>
    <m/>
    <m/>
    <n v="0"/>
    <n v="37.5"/>
    <n v="0"/>
    <n v="0"/>
    <n v="0"/>
    <n v="0"/>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287A9E-1C71-4D3B-A15A-3D85500CDB33}" name="PivotTable1" cacheId="753" applyNumberFormats="0" applyBorderFormats="0" applyFontFormats="0" applyPatternFormats="0" applyAlignmentFormats="0" applyWidthHeightFormats="1" dataCaption="Values" updatedVersion="8" minRefreshableVersion="3" showDrill="0" useAutoFormatting="1" rowGrandTotals="0" colGrandTotals="0" itemPrintTitles="1" createdVersion="7" indent="0" compact="0" compactData="0" multipleFieldFilters="0" rowHeaderCaption="1. Site ">
  <location ref="A18:D18" firstHeaderRow="1" firstDataRow="1" firstDataCol="4" rowPageCount="1" colPageCount="1"/>
  <pivotFields count="21">
    <pivotField axis="axisPage" compact="0" outline="0" subtotalTop="0" multipleItemSelectionAllowed="1" showAll="0" defaultSubtotal="0">
      <items count="2">
        <item h="1" x="0"/>
        <item m="1" x="1"/>
      </items>
    </pivotField>
    <pivotField axis="axisRow" compact="0" outline="0" showAll="0" sortType="ascending" defaultSubtotal="0">
      <items count="855">
        <item m="1" x="414"/>
        <item m="1" x="420"/>
        <item m="1" x="424"/>
        <item m="1" x="428"/>
        <item m="1" x="431"/>
        <item m="1" x="436"/>
        <item m="1" x="439"/>
        <item m="1" x="443"/>
        <item m="1" x="446"/>
        <item m="1" x="534"/>
        <item m="1" x="627"/>
        <item m="1" x="664"/>
        <item m="1" x="704"/>
        <item m="1" x="450"/>
        <item m="1" x="454"/>
        <item m="1" x="459"/>
        <item m="1" x="461"/>
        <item m="1" x="463"/>
        <item m="1" x="466"/>
        <item m="1" x="469"/>
        <item m="1" x="473"/>
        <item m="1" x="472"/>
        <item m="1" x="478"/>
        <item m="1" x="483"/>
        <item m="1" x="489"/>
        <item m="1" x="494"/>
        <item m="1" x="498"/>
        <item m="1" x="503"/>
        <item m="1" x="508"/>
        <item m="1" x="514"/>
        <item m="1" x="518"/>
        <item m="1" x="523"/>
        <item m="1" x="528"/>
        <item m="1" x="533"/>
        <item m="1" x="538"/>
        <item m="1" x="543"/>
        <item m="1" x="549"/>
        <item m="1" x="553"/>
        <item m="1" x="558"/>
        <item m="1" x="640"/>
        <item m="1" x="642"/>
        <item m="1" x="643"/>
        <item m="1" x="646"/>
        <item m="1" x="648"/>
        <item m="1" x="650"/>
        <item m="1" x="545"/>
        <item m="1" x="653"/>
        <item m="1" x="655"/>
        <item m="1" x="657"/>
        <item m="1" x="658"/>
        <item m="1" x="530"/>
        <item m="1" x="513"/>
        <item m="1" x="500"/>
        <item m="1" x="480"/>
        <item m="1" x="464"/>
        <item m="1" x="449"/>
        <item m="1" x="433"/>
        <item m="1" x="415"/>
        <item m="1" x="598"/>
        <item m="1" x="666"/>
        <item m="1" x="668"/>
        <item m="1" x="669"/>
        <item m="1" x="670"/>
        <item m="1" x="586"/>
        <item m="1" x="571"/>
        <item m="1" x="559"/>
        <item m="1" x="542"/>
        <item m="1" x="529"/>
        <item m="1" x="510"/>
        <item m="1" x="499"/>
        <item m="1" x="477"/>
        <item m="1" x="629"/>
        <item m="1" x="622"/>
        <item m="1" x="614"/>
        <item m="1" x="606"/>
        <item m="1" x="596"/>
        <item m="1" x="584"/>
        <item m="1" x="568"/>
        <item m="1" x="652"/>
        <item m="1" x="645"/>
        <item m="1" x="637"/>
        <item m="1" x="633"/>
        <item m="1" x="628"/>
        <item m="1" x="621"/>
        <item m="1" x="665"/>
        <item m="1" x="663"/>
        <item m="1" x="661"/>
        <item m="1" x="659"/>
        <item m="1" x="651"/>
        <item m="1" x="644"/>
        <item m="1" x="678"/>
        <item m="1" x="817"/>
        <item m="1" x="311"/>
        <item m="1" x="357"/>
        <item m="1" x="451"/>
        <item m="1" x="569"/>
        <item m="1" x="818"/>
        <item m="1" x="822"/>
        <item m="1" x="824"/>
        <item m="1" x="826"/>
        <item m="1" x="828"/>
        <item m="1" x="830"/>
        <item m="1" x="832"/>
        <item m="1" x="835"/>
        <item m="1" x="767"/>
        <item m="1" x="759"/>
        <item m="1" x="748"/>
        <item m="1" x="742"/>
        <item m="1" x="725"/>
        <item m="1" x="716"/>
        <item m="1" x="354"/>
        <item m="1" x="356"/>
        <item m="1" x="360"/>
        <item m="1" x="364"/>
        <item m="1" x="365"/>
        <item m="1" x="367"/>
        <item m="1" x="370"/>
        <item m="1" x="373"/>
        <item m="1" x="374"/>
        <item m="1" x="803"/>
        <item m="1" x="796"/>
        <item m="1" x="786"/>
        <item m="1" x="781"/>
        <item m="1" x="766"/>
        <item m="1" x="758"/>
        <item m="1" x="839"/>
        <item m="1" x="829"/>
        <item m="1" x="820"/>
        <item m="1" x="812"/>
        <item m="1" x="801"/>
        <item m="1" x="795"/>
        <item m="1" x="314"/>
        <item m="1" x="854"/>
        <item m="1" x="849"/>
        <item m="1" x="845"/>
        <item m="1" x="837"/>
        <item m="1" x="827"/>
        <item m="1" x="334"/>
        <item m="1" x="328"/>
        <item m="1" x="323"/>
        <item m="1" x="319"/>
        <item m="1" x="313"/>
        <item m="1" x="853"/>
        <item m="1" x="363"/>
        <item m="1" x="353"/>
        <item m="1" x="347"/>
        <item m="1" x="341"/>
        <item m="1" x="333"/>
        <item m="1" x="327"/>
        <item m="1" x="399"/>
        <item m="1" x="389"/>
        <item m="1" x="381"/>
        <item m="1" x="372"/>
        <item m="1" x="362"/>
        <item m="1" x="352"/>
        <item m="1" x="458"/>
        <item m="1" x="441"/>
        <item m="1" x="425"/>
        <item m="1" x="410"/>
        <item m="1" x="398"/>
        <item m="1" x="388"/>
        <item m="1" x="520"/>
        <item m="1" x="501"/>
        <item m="1" x="488"/>
        <item m="1" x="468"/>
        <item m="1" x="456"/>
        <item m="1" x="440"/>
        <item m="1" x="394"/>
        <item m="1" x="476"/>
        <item m="1" x="594"/>
        <item m="1" x="397"/>
        <item m="1" x="401"/>
        <item m="1" x="403"/>
        <item m="1" x="406"/>
        <item m="1" x="409"/>
        <item m="1" x="411"/>
        <item m="1" x="413"/>
        <item m="1" x="419"/>
        <item m="1" x="417"/>
        <item m="1" x="507"/>
        <item m="1" x="611"/>
        <item m="1" x="422"/>
        <item m="1" x="427"/>
        <item m="1" x="430"/>
        <item m="1" x="434"/>
        <item m="1" x="437"/>
        <item m="1" x="442"/>
        <item m="1" x="445"/>
        <item m="1" x="448"/>
        <item m="1" x="375"/>
        <item m="1" x="377"/>
        <item m="1" x="379"/>
        <item m="1" x="382"/>
        <item m="1" x="383"/>
        <item m="1" x="385"/>
        <item m="1" x="387"/>
        <item m="1" x="390"/>
        <item m="1" x="391"/>
        <item m="1" x="393"/>
        <item m="1" x="396"/>
        <item m="1" x="400"/>
        <item m="1" x="402"/>
        <item m="1" x="405"/>
        <item m="1" x="412"/>
        <item m="1" x="416"/>
        <item m="1" x="421"/>
        <item m="1" x="426"/>
        <item m="1" x="429"/>
        <item m="1" x="432"/>
        <item m="1" x="444"/>
        <item m="1" x="447"/>
        <item m="1" x="453"/>
        <item m="1" x="457"/>
        <item m="1" x="460"/>
        <item m="1" x="462"/>
        <item m="1" x="470"/>
        <item m="1" x="474"/>
        <item m="1" x="481"/>
        <item m="1" x="485"/>
        <item m="1" x="491"/>
        <item m="1" x="496"/>
        <item m="1" x="502"/>
        <item m="1" x="505"/>
        <item m="1" x="511"/>
        <item m="1" x="516"/>
        <item m="1" x="521"/>
        <item m="1" x="526"/>
        <item m="1" x="532"/>
        <item m="1" x="535"/>
        <item m="1" x="540"/>
        <item m="1" x="546"/>
        <item m="1" x="551"/>
        <item m="1" x="555"/>
        <item m="1" x="561"/>
        <item m="1" x="623"/>
        <item m="1" x="562"/>
        <item m="1" x="566"/>
        <item m="1" x="572"/>
        <item m="1" x="577"/>
        <item m="1" x="580"/>
        <item m="1" x="583"/>
        <item m="1" x="585"/>
        <item m="1" x="589"/>
        <item m="1" x="671"/>
        <item m="1" x="685"/>
        <item m="1" x="724"/>
        <item m="1" x="763"/>
        <item m="1" x="672"/>
        <item m="1" x="686"/>
        <item m="1" x="726"/>
        <item m="1" x="765"/>
        <item m="1" x="673"/>
        <item m="1" x="688"/>
        <item m="1" x="728"/>
        <item m="1" x="768"/>
        <item m="1" x="674"/>
        <item m="1" x="693"/>
        <item m="1" x="732"/>
        <item m="1" x="773"/>
        <item m="1" x="675"/>
        <item m="1" x="696"/>
        <item m="1" x="739"/>
        <item m="1" x="777"/>
        <item m="1" x="808"/>
        <item m="1" x="842"/>
        <item x="237"/>
        <item x="238"/>
        <item x="239"/>
        <item x="240"/>
        <item x="241"/>
        <item x="242"/>
        <item x="243"/>
        <item x="244"/>
        <item m="1" x="744"/>
        <item m="1" x="730"/>
        <item m="1" x="719"/>
        <item m="1" x="706"/>
        <item m="1" x="700"/>
        <item m="1" x="687"/>
        <item m="1" x="682"/>
        <item m="1" x="679"/>
        <item x="245"/>
        <item x="246"/>
        <item x="247"/>
        <item x="248"/>
        <item x="249"/>
        <item x="250"/>
        <item x="251"/>
        <item x="252"/>
        <item x="253"/>
        <item m="1" x="783"/>
        <item x="254"/>
        <item x="255"/>
        <item x="256"/>
        <item x="257"/>
        <item m="1" x="772"/>
        <item m="1" x="760"/>
        <item m="1" x="750"/>
        <item m="1" x="743"/>
        <item m="1" x="727"/>
        <item m="1" x="718"/>
        <item m="1" x="705"/>
        <item m="1" x="699"/>
        <item x="258"/>
        <item x="259"/>
        <item x="260"/>
        <item x="261"/>
        <item x="262"/>
        <item x="263"/>
        <item m="1" x="814"/>
        <item m="1" x="807"/>
        <item m="1" x="797"/>
        <item m="1" x="789"/>
        <item m="1" x="782"/>
        <item m="1" x="770"/>
        <item x="264"/>
        <item x="265"/>
        <item x="266"/>
        <item x="267"/>
        <item x="268"/>
        <item x="269"/>
        <item m="1" x="847"/>
        <item m="1" x="841"/>
        <item m="1" x="831"/>
        <item m="1" x="823"/>
        <item m="1" x="813"/>
        <item m="1" x="805"/>
        <item x="270"/>
        <item x="271"/>
        <item x="272"/>
        <item x="273"/>
        <item x="274"/>
        <item x="275"/>
        <item m="1" x="320"/>
        <item m="1" x="315"/>
        <item m="1" x="308"/>
        <item m="1" x="850"/>
        <item m="1" x="846"/>
        <item m="1" x="840"/>
        <item x="276"/>
        <item x="277"/>
        <item x="278"/>
        <item x="279"/>
        <item m="1" x="342"/>
        <item m="1" x="335"/>
        <item m="1" x="329"/>
        <item m="1" x="324"/>
        <item x="297"/>
        <item x="298"/>
        <item x="299"/>
        <item x="300"/>
        <item x="301"/>
        <item x="302"/>
        <item m="1" x="557"/>
        <item m="1" x="537"/>
        <item m="1" x="525"/>
        <item m="1" x="504"/>
        <item m="1" x="493"/>
        <item m="1" x="471"/>
        <item x="303"/>
        <item x="304"/>
        <item x="305"/>
        <item x="306"/>
        <item m="1" x="605"/>
        <item m="1" x="592"/>
        <item m="1" x="582"/>
        <item m="1" x="564"/>
        <item x="86"/>
        <item x="87"/>
        <item x="88"/>
        <item x="89"/>
        <item x="90"/>
        <item x="91"/>
        <item x="92"/>
        <item x="93"/>
        <item x="94"/>
        <item m="1" x="689"/>
        <item x="95"/>
        <item x="96"/>
        <item x="97"/>
        <item x="98"/>
        <item m="1" x="707"/>
        <item m="1" x="729"/>
        <item m="1" x="749"/>
        <item m="1" x="769"/>
        <item m="1" x="787"/>
        <item m="1" x="802"/>
        <item m="1" x="819"/>
        <item m="1" x="836"/>
        <item x="99"/>
        <item x="100"/>
        <item x="101"/>
        <item x="102"/>
        <item x="103"/>
        <item x="104"/>
        <item x="105"/>
        <item x="106"/>
        <item x="107"/>
        <item m="1" x="691"/>
        <item x="108"/>
        <item x="109"/>
        <item x="110"/>
        <item x="111"/>
        <item m="1" x="709"/>
        <item m="1" x="731"/>
        <item m="1" x="751"/>
        <item m="1" x="771"/>
        <item m="1" x="788"/>
        <item m="1" x="804"/>
        <item m="1" x="821"/>
        <item m="1" x="838"/>
        <item x="112"/>
        <item x="113"/>
        <item x="114"/>
        <item x="115"/>
        <item x="116"/>
        <item x="117"/>
        <item x="118"/>
        <item m="1" x="694"/>
        <item m="1" x="711"/>
        <item m="1" x="734"/>
        <item m="1" x="752"/>
        <item m="1" x="774"/>
        <item m="1" x="790"/>
        <item m="1" x="806"/>
        <item x="119"/>
        <item x="120"/>
        <item x="121"/>
        <item x="122"/>
        <item x="123"/>
        <item x="124"/>
        <item m="1" x="695"/>
        <item m="1" x="713"/>
        <item m="1" x="737"/>
        <item m="1" x="754"/>
        <item m="1" x="775"/>
        <item m="1" x="791"/>
        <item x="125"/>
        <item x="126"/>
        <item x="127"/>
        <item x="128"/>
        <item x="129"/>
        <item x="130"/>
        <item m="1" x="697"/>
        <item m="1" x="715"/>
        <item m="1" x="740"/>
        <item m="1" x="756"/>
        <item m="1" x="779"/>
        <item m="1" x="793"/>
        <item x="131"/>
        <item x="132"/>
        <item x="133"/>
        <item x="134"/>
        <item m="1" x="698"/>
        <item m="1" x="717"/>
        <item m="1" x="741"/>
        <item m="1" x="757"/>
        <item x="280"/>
        <item x="281"/>
        <item x="282"/>
        <item x="283"/>
        <item x="284"/>
        <item x="285"/>
        <item x="286"/>
        <item x="287"/>
        <item x="288"/>
        <item m="1" x="350"/>
        <item x="289"/>
        <item x="290"/>
        <item x="291"/>
        <item x="292"/>
        <item m="1" x="345"/>
        <item m="1" x="338"/>
        <item m="1" x="331"/>
        <item m="1" x="325"/>
        <item m="1" x="321"/>
        <item m="1" x="316"/>
        <item m="1" x="309"/>
        <item m="1" x="851"/>
        <item x="293"/>
        <item x="294"/>
        <item x="295"/>
        <item x="296"/>
        <item m="1" x="386"/>
        <item m="1" x="378"/>
        <item m="1" x="368"/>
        <item m="1" x="358"/>
        <item x="135"/>
        <item x="136"/>
        <item x="137"/>
        <item x="138"/>
        <item x="139"/>
        <item x="140"/>
        <item m="1" x="475"/>
        <item m="1" x="506"/>
        <item m="1" x="536"/>
        <item m="1" x="563"/>
        <item m="1" x="590"/>
        <item m="1" x="608"/>
        <item x="189"/>
        <item x="190"/>
        <item x="191"/>
        <item x="192"/>
        <item x="193"/>
        <item x="194"/>
        <item x="195"/>
        <item x="196"/>
        <item x="197"/>
        <item m="1" x="641"/>
        <item m="1" x="636"/>
        <item m="1" x="632"/>
        <item m="1" x="626"/>
        <item m="1" x="619"/>
        <item m="1" x="607"/>
        <item m="1" x="602"/>
        <item m="1" x="588"/>
        <item m="1" x="576"/>
        <item x="198"/>
        <item x="199"/>
        <item x="200"/>
        <item x="201"/>
        <item x="202"/>
        <item x="203"/>
        <item x="204"/>
        <item x="205"/>
        <item x="206"/>
        <item m="1" x="662"/>
        <item x="207"/>
        <item x="208"/>
        <item x="209"/>
        <item x="210"/>
        <item m="1" x="660"/>
        <item m="1" x="656"/>
        <item m="1" x="649"/>
        <item m="1" x="639"/>
        <item m="1" x="635"/>
        <item m="1" x="631"/>
        <item m="1" x="625"/>
        <item m="1" x="617"/>
        <item x="141"/>
        <item x="142"/>
        <item x="143"/>
        <item x="144"/>
        <item x="145"/>
        <item x="146"/>
        <item m="1" x="479"/>
        <item m="1" x="509"/>
        <item m="1" x="539"/>
        <item m="1" x="565"/>
        <item m="1" x="591"/>
        <item m="1" x="609"/>
        <item x="147"/>
        <item x="148"/>
        <item x="149"/>
        <item x="150"/>
        <item x="151"/>
        <item x="152"/>
        <item m="1" x="482"/>
        <item m="1" x="512"/>
        <item m="1" x="541"/>
        <item m="1" x="567"/>
        <item m="1" x="593"/>
        <item m="1" x="610"/>
        <item x="153"/>
        <item x="154"/>
        <item x="155"/>
        <item x="156"/>
        <item x="157"/>
        <item x="158"/>
        <item m="1" x="484"/>
        <item m="1" x="515"/>
        <item m="1" x="544"/>
        <item m="1" x="570"/>
        <item m="1" x="595"/>
        <item m="1" x="612"/>
        <item x="159"/>
        <item x="160"/>
        <item x="161"/>
        <item x="162"/>
        <item x="163"/>
        <item x="164"/>
        <item m="1" x="486"/>
        <item m="1" x="517"/>
        <item m="1" x="547"/>
        <item m="1" x="573"/>
        <item m="1" x="597"/>
        <item m="1" x="613"/>
        <item x="165"/>
        <item x="166"/>
        <item x="167"/>
        <item x="168"/>
        <item x="169"/>
        <item x="170"/>
        <item m="1" x="490"/>
        <item m="1" x="519"/>
        <item m="1" x="550"/>
        <item m="1" x="574"/>
        <item m="1" x="599"/>
        <item m="1" x="615"/>
        <item x="171"/>
        <item x="172"/>
        <item x="173"/>
        <item x="174"/>
        <item x="175"/>
        <item x="176"/>
        <item m="1" x="492"/>
        <item m="1" x="522"/>
        <item m="1" x="552"/>
        <item m="1" x="578"/>
        <item m="1" x="600"/>
        <item m="1" x="616"/>
        <item x="177"/>
        <item x="178"/>
        <item x="179"/>
        <item x="180"/>
        <item x="181"/>
        <item x="182"/>
        <item m="1" x="495"/>
        <item m="1" x="524"/>
        <item m="1" x="554"/>
        <item m="1" x="579"/>
        <item m="1" x="603"/>
        <item m="1" x="618"/>
        <item x="183"/>
        <item x="184"/>
        <item x="185"/>
        <item x="186"/>
        <item x="187"/>
        <item x="188"/>
        <item m="1" x="497"/>
        <item m="1" x="527"/>
        <item m="1" x="556"/>
        <item m="1" x="581"/>
        <item m="1" x="604"/>
        <item m="1" x="620"/>
        <item x="211"/>
        <item x="212"/>
        <item x="213"/>
        <item x="214"/>
        <item x="215"/>
        <item x="216"/>
        <item x="217"/>
        <item x="218"/>
        <item x="219"/>
        <item m="1" x="747"/>
        <item x="220"/>
        <item x="221"/>
        <item m="1" x="736"/>
        <item m="1" x="722"/>
        <item m="1" x="710"/>
        <item m="1" x="702"/>
        <item m="1" x="690"/>
        <item m="1" x="683"/>
        <item m="1" x="680"/>
        <item m="1" x="676"/>
        <item x="222"/>
        <item x="223"/>
        <item x="224"/>
        <item x="225"/>
        <item x="226"/>
        <item x="227"/>
        <item x="228"/>
        <item x="229"/>
        <item x="230"/>
        <item m="1" x="785"/>
        <item x="231"/>
        <item x="232"/>
        <item m="1" x="778"/>
        <item m="1" x="762"/>
        <item m="1" x="753"/>
        <item m="1" x="745"/>
        <item m="1" x="733"/>
        <item m="1" x="720"/>
        <item m="1" x="708"/>
        <item m="1" x="701"/>
        <item x="233"/>
        <item x="234"/>
        <item x="235"/>
        <item x="236"/>
        <item m="1" x="816"/>
        <item m="1" x="810"/>
        <item m="1" x="799"/>
        <item m="1" x="792"/>
        <item x="0"/>
        <item x="1"/>
        <item x="2"/>
        <item x="3"/>
        <item x="4"/>
        <item x="5"/>
        <item x="6"/>
        <item x="7"/>
        <item m="1" x="738"/>
        <item m="1" x="723"/>
        <item m="1" x="712"/>
        <item m="1" x="703"/>
        <item m="1" x="692"/>
        <item m="1" x="684"/>
        <item m="1" x="681"/>
        <item m="1" x="677"/>
        <item x="8"/>
        <item x="9"/>
        <item x="10"/>
        <item x="11"/>
        <item x="12"/>
        <item x="13"/>
        <item m="1" x="780"/>
        <item m="1" x="764"/>
        <item m="1" x="755"/>
        <item m="1" x="746"/>
        <item m="1" x="735"/>
        <item m="1" x="721"/>
        <item x="14"/>
        <item x="15"/>
        <item x="16"/>
        <item x="17"/>
        <item x="18"/>
        <item x="19"/>
        <item m="1" x="811"/>
        <item m="1" x="800"/>
        <item m="1" x="794"/>
        <item m="1" x="784"/>
        <item m="1" x="776"/>
        <item m="1" x="761"/>
        <item x="20"/>
        <item x="21"/>
        <item x="22"/>
        <item x="23"/>
        <item x="24"/>
        <item x="25"/>
        <item m="1" x="844"/>
        <item m="1" x="834"/>
        <item m="1" x="825"/>
        <item m="1" x="815"/>
        <item m="1" x="809"/>
        <item m="1" x="798"/>
        <item x="26"/>
        <item x="27"/>
        <item x="28"/>
        <item x="29"/>
        <item x="30"/>
        <item x="31"/>
        <item m="1" x="318"/>
        <item m="1" x="312"/>
        <item m="1" x="852"/>
        <item m="1" x="848"/>
        <item m="1" x="843"/>
        <item m="1" x="833"/>
        <item x="32"/>
        <item x="33"/>
        <item x="34"/>
        <item x="35"/>
        <item x="36"/>
        <item x="37"/>
        <item m="1" x="339"/>
        <item m="1" x="332"/>
        <item m="1" x="326"/>
        <item m="1" x="322"/>
        <item m="1" x="317"/>
        <item m="1" x="310"/>
        <item x="38"/>
        <item x="39"/>
        <item x="40"/>
        <item x="41"/>
        <item x="42"/>
        <item x="43"/>
        <item m="1" x="369"/>
        <item m="1" x="359"/>
        <item m="1" x="349"/>
        <item m="1" x="344"/>
        <item m="1" x="337"/>
        <item m="1" x="330"/>
        <item x="44"/>
        <item x="45"/>
        <item x="46"/>
        <item x="47"/>
        <item x="48"/>
        <item x="49"/>
        <item x="50"/>
        <item x="51"/>
        <item x="52"/>
        <item m="1" x="407"/>
        <item x="53"/>
        <item m="1" x="395"/>
        <item m="1" x="384"/>
        <item m="1" x="376"/>
        <item m="1" x="366"/>
        <item m="1" x="355"/>
        <item m="1" x="348"/>
        <item m="1" x="343"/>
        <item m="1" x="336"/>
        <item x="54"/>
        <item x="55"/>
        <item x="56"/>
        <item x="57"/>
        <item x="58"/>
        <item x="59"/>
        <item m="1" x="465"/>
        <item m="1" x="452"/>
        <item m="1" x="435"/>
        <item m="1" x="418"/>
        <item m="1" x="404"/>
        <item m="1" x="392"/>
        <item x="60"/>
        <item x="61"/>
        <item x="62"/>
        <item x="63"/>
        <item m="1" x="380"/>
        <item m="1" x="487"/>
        <item m="1" x="601"/>
        <item m="1" x="654"/>
        <item x="64"/>
        <item x="65"/>
        <item x="66"/>
        <item x="67"/>
        <item m="1" x="371"/>
        <item m="1" x="467"/>
        <item m="1" x="587"/>
        <item m="1" x="647"/>
        <item x="68"/>
        <item x="69"/>
        <item x="70"/>
        <item x="71"/>
        <item m="1" x="361"/>
        <item m="1" x="455"/>
        <item m="1" x="575"/>
        <item m="1" x="638"/>
        <item x="72"/>
        <item x="73"/>
        <item x="74"/>
        <item x="75"/>
        <item m="1" x="351"/>
        <item m="1" x="438"/>
        <item m="1" x="560"/>
        <item m="1" x="634"/>
        <item x="76"/>
        <item x="77"/>
        <item x="78"/>
        <item x="79"/>
        <item x="80"/>
        <item x="81"/>
        <item m="1" x="346"/>
        <item m="1" x="423"/>
        <item m="1" x="548"/>
        <item m="1" x="630"/>
        <item m="1" x="667"/>
        <item m="1" x="714"/>
        <item x="82"/>
        <item x="83"/>
        <item x="84"/>
        <item x="85"/>
        <item m="1" x="340"/>
        <item m="1" x="408"/>
        <item m="1" x="531"/>
        <item m="1" x="624"/>
        <item m="1" x="307"/>
      </items>
    </pivotField>
    <pivotField axis="axisRow" compact="0" outline="0" showAll="0" defaultSubtotal="0">
      <items count="9">
        <item x="0"/>
        <item x="1"/>
        <item x="2"/>
        <item x="3"/>
        <item x="4"/>
        <item x="5"/>
        <item x="6"/>
        <item x="7"/>
        <item m="1" x="8"/>
      </items>
    </pivotField>
    <pivotField compact="0" outline="0" showAll="0" defaultSubtotal="0"/>
    <pivotField compact="0" outline="0" showAll="0" defaultSubtotal="0"/>
    <pivotField axis="axisRow" compact="0" outline="0" showAll="0" defaultSubtotal="0">
      <items count="164">
        <item x="20"/>
        <item x="2"/>
        <item x="69"/>
        <item x="58"/>
        <item x="0"/>
        <item x="12"/>
        <item x="6"/>
        <item x="17"/>
        <item x="19"/>
        <item x="34"/>
        <item x="16"/>
        <item x="51"/>
        <item x="47"/>
        <item x="111"/>
        <item x="112"/>
        <item x="46"/>
        <item x="23"/>
        <item x="104"/>
        <item x="108"/>
        <item x="91"/>
        <item x="33"/>
        <item x="115"/>
        <item x="143"/>
        <item x="147"/>
        <item x="39"/>
        <item x="90"/>
        <item x="62"/>
        <item x="132"/>
        <item x="30"/>
        <item x="28"/>
        <item x="131"/>
        <item x="29"/>
        <item m="1" x="162"/>
        <item x="124"/>
        <item x="141"/>
        <item x="127"/>
        <item m="1" x="154"/>
        <item x="133"/>
        <item x="129"/>
        <item x="117"/>
        <item x="116"/>
        <item x="128"/>
        <item m="1" x="163"/>
        <item x="54"/>
        <item x="78"/>
        <item x="65"/>
        <item x="75"/>
        <item x="82"/>
        <item x="123"/>
        <item x="50"/>
        <item x="44"/>
        <item x="43"/>
        <item x="36"/>
        <item x="110"/>
        <item m="1" x="153"/>
        <item x="14"/>
        <item x="11"/>
        <item x="130"/>
        <item x="61"/>
        <item x="63"/>
        <item x="27"/>
        <item x="26"/>
        <item x="31"/>
        <item x="98"/>
        <item x="93"/>
        <item x="92"/>
        <item x="97"/>
        <item x="94"/>
        <item x="96"/>
        <item x="95"/>
        <item x="99"/>
        <item x="21"/>
        <item x="32"/>
        <item x="3"/>
        <item x="1"/>
        <item x="72"/>
        <item x="135"/>
        <item x="73"/>
        <item x="25"/>
        <item x="71"/>
        <item x="74"/>
        <item x="35"/>
        <item x="126"/>
        <item x="24"/>
        <item x="77"/>
        <item x="8"/>
        <item x="7"/>
        <item x="15"/>
        <item x="66"/>
        <item x="79"/>
        <item x="13"/>
        <item x="45"/>
        <item x="67"/>
        <item x="9"/>
        <item x="84"/>
        <item x="52"/>
        <item m="1" x="161"/>
        <item m="1" x="149"/>
        <item m="1" x="160"/>
        <item x="86"/>
        <item m="1" x="158"/>
        <item x="64"/>
        <item m="1" x="159"/>
        <item m="1" x="150"/>
        <item x="85"/>
        <item x="83"/>
        <item x="140"/>
        <item x="49"/>
        <item m="1" x="155"/>
        <item x="70"/>
        <item x="122"/>
        <item x="55"/>
        <item x="76"/>
        <item x="68"/>
        <item x="81"/>
        <item x="42"/>
        <item x="38"/>
        <item x="134"/>
        <item x="106"/>
        <item m="1" x="151"/>
        <item x="136"/>
        <item x="57"/>
        <item x="137"/>
        <item x="138"/>
        <item m="1" x="152"/>
        <item x="41"/>
        <item x="40"/>
        <item x="18"/>
        <item x="48"/>
        <item m="1" x="156"/>
        <item x="22"/>
        <item x="53"/>
        <item x="5"/>
        <item x="60"/>
        <item x="139"/>
        <item x="146"/>
        <item x="144"/>
        <item x="145"/>
        <item x="88"/>
        <item x="87"/>
        <item x="89"/>
        <item m="1" x="157"/>
        <item x="80"/>
        <item x="4"/>
        <item x="37"/>
        <item x="113"/>
        <item x="56"/>
        <item m="1" x="148"/>
        <item x="10"/>
        <item x="100"/>
        <item x="101"/>
        <item x="102"/>
        <item x="103"/>
        <item x="105"/>
        <item x="107"/>
        <item x="109"/>
        <item x="114"/>
        <item x="118"/>
        <item x="119"/>
        <item x="120"/>
        <item x="121"/>
        <item x="125"/>
        <item x="142"/>
        <item x="59"/>
      </items>
    </pivotField>
    <pivotField compact="0" outline="0" showAll="0" defaultSubtotal="0"/>
    <pivotField axis="axisRow" compact="0" outline="0" showAll="0" defaultSubtotal="0">
      <items count="14">
        <item x="0"/>
        <item x="2"/>
        <item x="10"/>
        <item x="13"/>
        <item x="12"/>
        <item x="8"/>
        <item x="7"/>
        <item x="9"/>
        <item x="6"/>
        <item x="11"/>
        <item x="4"/>
        <item x="5"/>
        <item x="3"/>
        <item x="1"/>
      </items>
    </pivotField>
    <pivotField compact="0" outline="0" showAll="0" defaultSubtotal="0"/>
    <pivotField compact="0" outline="0" subtotalTop="0" showAll="0" defaultSubtotal="0"/>
    <pivotField compact="0" outline="0" subtotalTop="0" showAll="0" defaultSubtotal="0"/>
    <pivotField compact="0" numFmtId="166" outline="0" subtotalTop="0" showAll="0" defaultSubtotal="0"/>
    <pivotField compact="0" outline="0" subtotalTop="0" showAll="0" defaultSubtotal="0"/>
    <pivotField compact="0" numFmtId="166"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s>
  <rowFields count="4">
    <field x="2"/>
    <field x="1"/>
    <field x="5"/>
    <field x="7"/>
  </rowFields>
  <colItems count="1">
    <i/>
  </colItems>
  <pageFields count="1">
    <pageField fld="0" hier="-1"/>
  </page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13BC81-F471-40BF-8237-D73448D3EAA4}" name="PivotTable3" cacheId="42" applyNumberFormats="0" applyBorderFormats="0" applyFontFormats="0" applyPatternFormats="0" applyAlignmentFormats="0" applyWidthHeightFormats="1" dataCaption="Values" updatedVersion="8" minRefreshableVersion="3" showDrill="0" useAutoFormatting="1" itemPrintTitles="1" createdVersion="7" indent="0" showHeaders="0" outline="1" outlineData="1" multipleFieldFilters="0" rowHeaderCaption="">
  <location ref="L2:M5" firstHeaderRow="1" firstDataRow="1" firstDataCol="1"/>
  <pivotFields count="14">
    <pivotField showAll="0"/>
    <pivotField axis="axisRow" showAll="0">
      <items count="10">
        <item m="1" x="1"/>
        <item m="1" x="4"/>
        <item m="1" x="2"/>
        <item m="1" x="6"/>
        <item m="1" x="3"/>
        <item m="1" x="5"/>
        <item m="1" x="7"/>
        <item m="1" x="8"/>
        <item x="0"/>
        <item t="default"/>
      </items>
    </pivotField>
    <pivotField showAll="0"/>
    <pivotField showAll="0"/>
    <pivotField showAll="0"/>
    <pivotField showAll="0"/>
    <pivotField axis="axisRow" showAll="0">
      <items count="5">
        <item m="1" x="2"/>
        <item m="1" x="3"/>
        <item m="1" x="1"/>
        <item x="0"/>
        <item t="default"/>
      </items>
    </pivotField>
    <pivotField numFmtId="1" showAll="0"/>
    <pivotField showAll="0"/>
    <pivotField numFmtId="44" showAll="0"/>
    <pivotField numFmtId="44" showAll="0"/>
    <pivotField numFmtId="44" showAll="0"/>
    <pivotField numFmtId="44" showAll="0"/>
    <pivotField dataField="1" numFmtId="44" showAll="0"/>
  </pivotFields>
  <rowFields count="2">
    <field x="6"/>
    <field x="1"/>
  </rowFields>
  <rowItems count="3">
    <i>
      <x v="3"/>
    </i>
    <i r="1">
      <x v="8"/>
    </i>
    <i t="grand">
      <x/>
    </i>
  </rowItems>
  <colItems count="1">
    <i/>
  </colItems>
  <dataFields count="1">
    <dataField name="Total Annual Budget" fld="13" baseField="6" baseItem="0" numFmtId="44"/>
  </data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87D9D033-B29E-40E1-BB98-28556247FB58}" sourceName="CATEGORY">
  <extLst>
    <x:ext xmlns:x15="http://schemas.microsoft.com/office/spreadsheetml/2010/11/main" uri="{2F2917AC-EB37-4324-AD4E-5DD8C200BD13}">
      <x15:tableSlicerCache tableId="8"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INTENANCE_OR_CAPITAL" xr10:uid="{F8A2C568-D890-4FB0-941E-1D95A4CFFAB0}" sourceName="MAINTENANCE OR CAPITAL">
  <extLst>
    <x:ext xmlns:x15="http://schemas.microsoft.com/office/spreadsheetml/2010/11/main" uri="{2F2917AC-EB37-4324-AD4E-5DD8C200BD13}">
      <x15:tableSlicerCache tableId="8"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2" xr10:uid="{EA0AB967-F4D4-4F6B-8208-54B87A32D568}" sourceName="CATEGORY">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INTENANCE_OR_CAPITAL1" xr10:uid="{EE740C27-0D7A-4803-ACD1-803573A7479F}" sourceName="MAINTENANCE OR CAPITAL">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2" xr10:uid="{5C3D6518-11D4-479B-8E42-A55F4368D5C4}" cache="Slicer_CATEGORY2" caption="CATEGORY" rowHeight="241300"/>
  <slicer name="MAINTENANCE OR CAPITAL 1" xr10:uid="{470770D7-B55F-4A4F-95F7-1D6B800CCC49}" cache="Slicer_MAINTENANCE_OR_CAPITAL1" caption="MAINTENANCE OR CAPITAL"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497A2F0A-EF12-4F44-835E-4DDC09C19C18}" cache="Slicer_CATEGORY" caption="CATEGORY" style="SlicerStyleDark5" rowHeight="241300"/>
  <slicer name="MAINTENANCE OR CAPITAL" xr10:uid="{64704099-2FA7-49A6-A760-123676E01454}" cache="Slicer_MAINTENANCE_OR_CAPITAL" caption="MAINTENANCE OR CAPITAL"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17D3DC-CE95-4B0D-9352-CEB3356B2294}" name="Table1" displayName="Table1" ref="A17:O171" totalsRowShown="0" headerRowDxfId="138" dataDxfId="137" tableBorderDxfId="136">
  <autoFilter ref="A17:O171" xr:uid="{BC17D3DC-CE95-4B0D-9352-CEB3356B2294}">
    <filterColumn colId="5">
      <filters>
        <filter val="Maintenance"/>
      </filters>
    </filterColumn>
  </autoFilter>
  <tableColumns count="15">
    <tableColumn id="1" xr3:uid="{5C89F053-CA2C-4BF2-A227-CBCA521C3DB4}" name="WORK ORDER" dataDxfId="135"/>
    <tableColumn id="2" xr3:uid="{CA1B5F2D-DB12-4F42-9F2B-2523281AD552}" name="CATEGORY" dataDxfId="134"/>
    <tableColumn id="3" xr3:uid="{CF72C8E5-0482-4399-98EB-D5A18C598057}" name="SUB-CATEGORY" dataDxfId="133"/>
    <tableColumn id="4" xr3:uid="{A66F8FE8-FA5B-422E-A844-7A98D008C89F}" name="COMPONENT" dataDxfId="132"/>
    <tableColumn id="5" xr3:uid="{084A1747-AC24-4508-80CD-DFA7808BC023}" name="TASK DESCRIPTION" dataDxfId="131"/>
    <tableColumn id="6" xr3:uid="{5FFEC77A-F075-4159-9C32-BD8F4DDD25F0}" name="MAINTENANCE OR CAPITAL" dataDxfId="130"/>
    <tableColumn id="7" xr3:uid="{ADD30A3C-ED2B-42C9-8E07-D4FBB1F120F2}" name="FREQUENCY" dataDxfId="129"/>
    <tableColumn id="8" xr3:uid="{84B47BA3-B440-4601-870F-82439FA21714}" name="FREQUENCY   (TIMES PER YEAR)" dataDxfId="128"/>
    <tableColumn id="9" xr3:uid="{BB1B7E31-2F74-4D73-8340-EDFFF2EB51E8}" name="Inventory Item" dataDxfId="127"/>
    <tableColumn id="10" xr3:uid="{2050DE7E-4B01-4D2A-B2AA-F8C1B9FB1CC3}" name="QUANTITY" dataDxfId="126"/>
    <tableColumn id="11" xr3:uid="{BABD1B71-735D-4CED-BEE9-FE4BD54BFDFD}" name="Units" dataDxfId="125"/>
    <tableColumn id="12" xr3:uid="{3CFD0671-23E1-4232-A10B-A54A733BFB75}" name="Location Description" dataDxfId="124"/>
    <tableColumn id="13" xr3:uid="{08333821-8EEE-4F56-9704-8D16C5BF7430}" name="Year Installed" dataDxfId="123"/>
    <tableColumn id="15" xr3:uid="{F45B4276-620F-443D-A29A-E71795380DAF}" name="Condition" dataDxfId="122"/>
    <tableColumn id="14" xr3:uid="{BB40A9AC-BDFC-42F2-93F4-32D52E12FABA}" name="Inventory Notes" dataDxfId="121"/>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E3AD20-54FD-455F-9859-315DCE55E2C2}" name="Table2" displayName="Table2" ref="B16:BG44" totalsRowShown="0" headerRowDxfId="120" dataDxfId="119" tableBorderDxfId="118">
  <tableColumns count="58">
    <tableColumn id="1" xr3:uid="{61F08052-F564-40D2-B6C4-DF22BE609E4D}" name="WORK ORDER" dataDxfId="0"/>
    <tableColumn id="2" xr3:uid="{FEA18F08-B20D-428B-9887-FA35C32A3C7B}" name="COMPONENT" dataDxfId="6">
      <calculatedColumnFormula>IFERROR(VLOOKUP('3. SCHEDULE'!$B17,'5. WO Data Masterlist'!$B15:$T322, 4, FALSE), "")</calculatedColumnFormula>
    </tableColumn>
    <tableColumn id="3" xr3:uid="{47948AD8-96A4-4DA2-88D3-8ECC016602BB}" name="Task Description" dataDxfId="62">
      <calculatedColumnFormula>IFERROR(VLOOKUP('3. SCHEDULE'!$B17,'5. WO Data Masterlist'!$B15:$T322, 5, FALSE), "")</calculatedColumnFormula>
    </tableColumn>
    <tableColumn id="4" xr3:uid="{0927194F-BAED-4C76-8422-A8D4C764A88B}" name="Frequency" dataDxfId="61">
      <calculatedColumnFormula>IFERROR(VLOOKUP('3. SCHEDULE'!$B17,'5. WO Data Masterlist'!$B15:$U322,7, FALSE), "")</calculatedColumnFormula>
    </tableColumn>
    <tableColumn id="5" xr3:uid="{2F6441B9-23E4-4A2A-A547-57097C9989C4}" name="Frequency Data" dataDxfId="60">
      <calculatedColumnFormula>IFERROR(VLOOKUP('3. SCHEDULE'!$B17,'5. WO Data Masterlist'!$B15:$T322,8, FALSE), "")</calculatedColumnFormula>
    </tableColumn>
    <tableColumn id="6" xr3:uid="{857EF36A-A62B-4DA9-BA40-8CCC09E308DC}" name="Operator Hours" dataDxfId="59">
      <calculatedColumnFormula>IFERROR(VLOOKUP('3. SCHEDULE'!$B17,'5. WO Data Masterlist'!$B15:$U322,13, FALSE)*F17, "")</calculatedColumnFormula>
    </tableColumn>
    <tableColumn id="8" xr3:uid="{348CD13E-AE3B-47AE-9250-0CDA2CFD0D8D}" name="1" dataDxfId="58"/>
    <tableColumn id="9" xr3:uid="{22C5BBCC-6FB4-4177-9253-AD235CC11EF5}" name="2" dataDxfId="57"/>
    <tableColumn id="10" xr3:uid="{26F5776C-3EEE-4F2F-9963-9704A9B53308}" name="3" dataDxfId="56"/>
    <tableColumn id="11" xr3:uid="{18E618F1-3E58-47BD-8DFF-F746AB740946}" name="4" dataDxfId="55"/>
    <tableColumn id="12" xr3:uid="{7B4A5F56-3556-4EC9-934C-A09F1F4245B8}" name="5" dataDxfId="54"/>
    <tableColumn id="13" xr3:uid="{55101B2B-6047-478F-9590-3E85B2DE5E9A}" name="6" dataDxfId="53"/>
    <tableColumn id="14" xr3:uid="{4942BEE9-69D2-40CE-AAA9-C1BE21BF923E}" name="7" dataDxfId="52"/>
    <tableColumn id="15" xr3:uid="{8E9E24A6-5281-46EB-8018-293FEFB039C4}" name="8" dataDxfId="51"/>
    <tableColumn id="16" xr3:uid="{A4749FE8-A55C-4674-9366-0B7FBBFA3446}" name="9" dataDxfId="50"/>
    <tableColumn id="17" xr3:uid="{855F743B-3879-4C5D-A45B-908FDFDCFD48}" name="10" dataDxfId="49"/>
    <tableColumn id="18" xr3:uid="{3C01C611-BEF9-4D67-858F-1407FB2B4D09}" name="11" dataDxfId="48"/>
    <tableColumn id="19" xr3:uid="{6DCCC78A-F7B1-46F0-8E92-9F37B028F3FD}" name="12" dataDxfId="47"/>
    <tableColumn id="20" xr3:uid="{D036FDB8-0609-42F3-A158-736A69F10315}" name="13" dataDxfId="46"/>
    <tableColumn id="21" xr3:uid="{462C3E50-9E8B-4A68-8ABA-76A92BC5A075}" name="14" dataDxfId="45"/>
    <tableColumn id="22" xr3:uid="{0169D34A-235E-4932-A396-7566D02F3199}" name="15" dataDxfId="44"/>
    <tableColumn id="23" xr3:uid="{70076F1D-F027-43C9-9104-C5D8E523807A}" name="16" dataDxfId="43"/>
    <tableColumn id="24" xr3:uid="{62D1E409-B84B-49A6-89C4-2D2C4F6018F5}" name="17" dataDxfId="42"/>
    <tableColumn id="25" xr3:uid="{2F66D0DD-D16C-42EE-B277-2A8C6B21E066}" name="18" dataDxfId="41"/>
    <tableColumn id="26" xr3:uid="{FE580907-D9C9-4587-82DD-09DA9EB8F005}" name="19" dataDxfId="40"/>
    <tableColumn id="27" xr3:uid="{6558A752-123D-4792-BEC2-FE9391D03BFD}" name="20" dataDxfId="39"/>
    <tableColumn id="28" xr3:uid="{C09E4C21-C771-457C-A64F-FDEAF0AE279A}" name="21" dataDxfId="38"/>
    <tableColumn id="29" xr3:uid="{5BFEF62A-5F54-4893-921C-6700243086D2}" name="22" dataDxfId="37"/>
    <tableColumn id="30" xr3:uid="{7A944DB8-D777-4A59-8F58-EA7FA983B913}" name="23" dataDxfId="36"/>
    <tableColumn id="31" xr3:uid="{2DA4569F-9268-443C-9070-B61824725E13}" name="24" dataDxfId="35"/>
    <tableColumn id="32" xr3:uid="{E0F67DA4-3B52-4EF6-8ACA-37F920C226FB}" name="25" dataDxfId="34"/>
    <tableColumn id="33" xr3:uid="{BF65388F-25F9-4D8D-97C2-CC52A0EAC5BA}" name="26" dataDxfId="33"/>
    <tableColumn id="34" xr3:uid="{F4C65E82-F7BE-49B7-A3D9-4D5E90AD60CA}" name="27" dataDxfId="32"/>
    <tableColumn id="35" xr3:uid="{DECFF266-2E9A-4B47-8766-94F8C9B1CC0F}" name="28" dataDxfId="31"/>
    <tableColumn id="36" xr3:uid="{16EA8BB8-2D33-4E74-8DB5-75061C7C89F6}" name="29" dataDxfId="30"/>
    <tableColumn id="37" xr3:uid="{24DC9445-17E0-45DD-8A8B-A35CAD1E3D5E}" name="30" dataDxfId="29"/>
    <tableColumn id="38" xr3:uid="{0539E80D-C53D-442C-80DA-00A5204ED2E1}" name="31" dataDxfId="28"/>
    <tableColumn id="39" xr3:uid="{BBAE2681-D5B0-42BE-B313-08A4EC47FF6B}" name="32" dataDxfId="27"/>
    <tableColumn id="40" xr3:uid="{E660D96F-901F-4F30-9C10-29710313E0BD}" name="33" dataDxfId="26"/>
    <tableColumn id="41" xr3:uid="{DDC77CD8-1CB4-4164-8E54-9B1005D485FF}" name="34" dataDxfId="25"/>
    <tableColumn id="42" xr3:uid="{B73E4C38-3D72-4B34-A237-A5B681C7E7D9}" name="35" dataDxfId="24"/>
    <tableColumn id="43" xr3:uid="{E4F09FA2-B6D5-4DCB-AAA4-60BA5F7458C3}" name="36" dataDxfId="23"/>
    <tableColumn id="44" xr3:uid="{8D513B25-ECEB-4F66-9579-64A36FC09DFC}" name="37" dataDxfId="22"/>
    <tableColumn id="45" xr3:uid="{E2D601BC-2537-4276-A72E-DE818B128CD4}" name="38" dataDxfId="21"/>
    <tableColumn id="46" xr3:uid="{45FED29B-8F5E-487A-BED0-F5BA91C2B8ED}" name="39" dataDxfId="20"/>
    <tableColumn id="47" xr3:uid="{94F41D9C-F6B9-4842-8CA5-9E4858EB6C0F}" name="40" dataDxfId="19"/>
    <tableColumn id="48" xr3:uid="{115D400F-02F1-4261-AE09-D73244CB88AE}" name="41" dataDxfId="18"/>
    <tableColumn id="49" xr3:uid="{7791BA12-CDB0-40E2-AA3D-6FA2223C918E}" name="42" dataDxfId="17"/>
    <tableColumn id="50" xr3:uid="{16987B0B-5504-4A89-A141-1DDF1ECBFFDB}" name="43" dataDxfId="16"/>
    <tableColumn id="51" xr3:uid="{C567ADFE-B5B7-4853-8900-3D52A620526A}" name="44" dataDxfId="15"/>
    <tableColumn id="52" xr3:uid="{10C52B05-9339-4199-A31E-17CF7E8ACDA4}" name="45" dataDxfId="14"/>
    <tableColumn id="53" xr3:uid="{0C2E33FB-AFE6-4F48-A6A3-54D486A37720}" name="46" dataDxfId="13"/>
    <tableColumn id="54" xr3:uid="{D1E62899-10AE-4C09-8D9E-63EBDF2DE842}" name="47" dataDxfId="12"/>
    <tableColumn id="55" xr3:uid="{A7A54A09-2BB8-406F-92FF-79D2EB0FC64B}" name="48" dataDxfId="11"/>
    <tableColumn id="56" xr3:uid="{7AD773E2-9B22-4A55-BF4C-814293C767ED}" name="49" dataDxfId="10"/>
    <tableColumn id="57" xr3:uid="{FC029055-7A4C-4B79-948B-FACA2C82A759}" name="50" dataDxfId="9"/>
    <tableColumn id="58" xr3:uid="{ECC50FC8-4374-44EF-B8F7-3007C78A84E2}" name="51" dataDxfId="8"/>
    <tableColumn id="59" xr3:uid="{1184FE4B-5340-4B35-986E-9AC907719125}" name="52" dataDxfId="7"/>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7F5563E-CD38-4777-8660-272FBD1B57FE}" name="Table12" displayName="Table12" ref="B22:O23" headerRowDxfId="117" dataDxfId="116" tableBorderDxfId="115" dataCellStyle="Currency">
  <autoFilter ref="B22:O23" xr:uid="{17F5563E-CD38-4777-8660-272FBD1B57FE}">
    <filterColumn colId="6">
      <filters>
        <filter val="Maintenance"/>
      </filters>
    </filterColumn>
  </autoFilter>
  <tableColumns count="14">
    <tableColumn id="1" xr3:uid="{A2609C85-C301-4C0D-A506-BC0D8F365F8E}" name="Work Order" totalsRowLabel="Total" dataDxfId="1" totalsRowDxfId="114"/>
    <tableColumn id="2" xr3:uid="{75974638-82F8-4B78-ADF1-9F35013E56FE}" name="Category" dataDxfId="2" totalsRowDxfId="113">
      <calculatedColumnFormula>VLOOKUP('4. BUDGET'!$B23,'5. WO Data Masterlist'!$B15:$U322, 2, FALSE)</calculatedColumnFormula>
    </tableColumn>
    <tableColumn id="3" xr3:uid="{F0CCEB52-AD71-4085-A9F5-00D42BF60912}" name="Asset Component" dataDxfId="112" totalsRowDxfId="111">
      <calculatedColumnFormula>VLOOKUP('4. BUDGET'!$B23,'5. WO Data Masterlist'!$B15:$U322, 4, FALSE)</calculatedColumnFormula>
    </tableColumn>
    <tableColumn id="4" xr3:uid="{6496F1A4-7CEA-47CC-8B9B-6D6B2DDB9B90}" name="Task Description" dataDxfId="110" totalsRowDxfId="109">
      <calculatedColumnFormula>IFERROR(VLOOKUP('4. BUDGET'!$B23,'5. WO Data Masterlist'!$B15:$U322, 5, FALSE), " ")</calculatedColumnFormula>
    </tableColumn>
    <tableColumn id="5" xr3:uid="{1552983F-8D13-4143-99AB-C2804F2466B1}" name="Frequency" dataDxfId="108" totalsRowDxfId="107">
      <calculatedColumnFormula>IFERROR(VLOOKUP('4. BUDGET'!$B23,'5. WO Data Masterlist'!$B15:$U322, 7, FALSE)," ")</calculatedColumnFormula>
    </tableColumn>
    <tableColumn id="6" xr3:uid="{FF10BFD5-17A5-4C2D-AA97-97B31C437E13}" name="Frequency Data" dataDxfId="106" totalsRowDxfId="105">
      <calculatedColumnFormula>VLOOKUP('4. BUDGET'!$B23,'5. WO Data Masterlist'!$B15:$U322,8, FALSE)</calculatedColumnFormula>
    </tableColumn>
    <tableColumn id="7" xr3:uid="{656FBEE2-87D6-4DE5-A1E8-F30A9D13DD17}" name="M / C" dataDxfId="104" totalsRowDxfId="103">
      <calculatedColumnFormula>IFERROR(VLOOKUP('4. BUDGET'!$B23,'5. WO Data Masterlist'!$B15:$U322,6, FALSE)," ")</calculatedColumnFormula>
    </tableColumn>
    <tableColumn id="8" xr3:uid="{B68A4F8C-72A9-4642-8D84-D133B34A4296}" name="Operator" dataDxfId="102" totalsRowDxfId="101">
      <calculatedColumnFormula>IFERROR(VLOOKUP('4. BUDGET'!$B23,'5. WO Data Masterlist'!$B15:$U322,13,FALSE)*'4. BUDGET'!$G23," ")</calculatedColumnFormula>
    </tableColumn>
    <tableColumn id="9" xr3:uid="{69E093AA-5008-40CC-89B2-C2B3C27F79A3}" name="Truck" dataDxfId="100" totalsRowDxfId="99"/>
    <tableColumn id="10" xr3:uid="{270E5EF9-D502-424A-BB83-761D25A98956}" name="Contractor" dataDxfId="98" totalsRowDxfId="97" dataCellStyle="Currency">
      <calculatedColumnFormula>IFERROR(VLOOKUP('4. BUDGET'!$B23,'5. WO Data Masterlist'!$B15:$U322, 16, FALSE)," ")</calculatedColumnFormula>
    </tableColumn>
    <tableColumn id="11" xr3:uid="{70123261-88AD-44A4-9EF5-5A41F69FA219}" name="Equipment" dataDxfId="96" totalsRowDxfId="95" dataCellStyle="Currency">
      <calculatedColumnFormula>IFERROR(VLOOKUP('4. BUDGET'!$B23,'5. WO Data Masterlist'!$B15:$U322, 17, FALSE)," ")</calculatedColumnFormula>
    </tableColumn>
    <tableColumn id="12" xr3:uid="{67FB1A5F-31AC-4B04-A6C6-FF3E3D7C4F2A}" name="Parts &amp; Materials" dataDxfId="94" totalsRowDxfId="93" dataCellStyle="Currency">
      <calculatedColumnFormula>IFERROR(VLOOKUP('4. BUDGET'!$B23,'5. WO Data Masterlist'!$B15:$U322, 18, FALSE)," ")</calculatedColumnFormula>
    </tableColumn>
    <tableColumn id="13" xr3:uid="{42C2E5A8-BED7-40E5-A959-33693E7A87E7}" name="Utilities" dataDxfId="92" totalsRowDxfId="91" dataCellStyle="Currency">
      <calculatedColumnFormula>IFERROR(VLOOKUP('4. BUDGET'!$B23,'5. WO Data Masterlist'!$B15:$U322, 19, FALSE)," ")</calculatedColumnFormula>
    </tableColumn>
    <tableColumn id="14" xr3:uid="{FB6AE4AD-CFA6-46E3-80D7-9CEE5FB67933}" name="Annual Budget" totalsRowFunction="sum" dataDxfId="90" totalsRowDxfId="89">
      <calculatedColumnFormula>IFERROR((('4. BUDGET'!$I23*'TABLE OF CONTENTS'!$K$34)+((('4. BUDGET'!$K23+'4. BUDGET'!$L23+'4. BUDGET'!$M23+'4. BUDGET'!$N23))*'4. BUDGET'!$G23))," ")</calculatedColumnFormula>
    </tableColumn>
  </tableColumns>
  <tableStyleInfo name="TableStyleMedium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577F13E-90F9-4E12-A27B-4BF59FF59474}" name="Table139159" displayName="Table139159" ref="A15:U322" totalsRowShown="0" headerRowDxfId="88" dataDxfId="86" headerRowBorderDxfId="87" tableBorderDxfId="85" totalsRowBorderDxfId="84">
  <autoFilter ref="A15:U322" xr:uid="{BBCCAF49-C5B2-42A4-B619-5F6E026888F2}">
    <filterColumn colId="6">
      <filters>
        <filter val="Maintenance"/>
      </filters>
    </filterColumn>
  </autoFilter>
  <tableColumns count="21">
    <tableColumn id="17" xr3:uid="{8583E6A3-8070-4DF5-9B47-FDCD23F0FCB0}" name="REQUIRED? _x000a_(Yes / No)" dataDxfId="83">
      <calculatedColumnFormula>IF(Table139159[[#This Row],[QUANTITY]]&gt;0, "YES", "NO")</calculatedColumnFormula>
    </tableColumn>
    <tableColumn id="1" xr3:uid="{EAA131AA-0FC0-46CB-B14D-E5CE00757EB4}" name="WORK ORDER" dataDxfId="82">
      <calculatedColumnFormula>LEFT(Table139159[[#This Row],[CATEGORY]],1)&amp;LEFT(Table139159[[#This Row],[SUB-CATEGORY]],1)&amp;#REF!&amp;Table139159[[#This Row],[TASK DESCRIPTION]]</calculatedColumnFormula>
    </tableColumn>
    <tableColumn id="2" xr3:uid="{B8334ADF-77FB-4D3E-9062-ACF3C313EA82}" name="CATEGORY" dataDxfId="81"/>
    <tableColumn id="3" xr3:uid="{2005C834-9731-4CD8-836C-8B6EEEFEE994}" name="SUB-CATEGORY" dataDxfId="80"/>
    <tableColumn id="7" xr3:uid="{9CF506F5-A77D-4CFE-B9C2-128CD4DAC179}" name="COMPONENT" dataDxfId="79"/>
    <tableColumn id="8" xr3:uid="{92CC848C-53CE-4A50-BCF9-0FF4B1569D3E}" name="TASK DESCRIPTION" dataDxfId="78"/>
    <tableColumn id="13" xr3:uid="{07F10BF1-39D6-4079-8919-B53C2FFD7132}" name="MAINTENANCE OR CAPITAL" dataDxfId="77"/>
    <tableColumn id="10" xr3:uid="{A39040B7-7B1F-4478-A0A8-8DE7D192D90E}" name="FREQUENCY" dataDxfId="76"/>
    <tableColumn id="9" xr3:uid="{BD0A2C9A-4C56-4038-B1E5-0A6CFBF4E546}" name="FREQUENCY   (TIMES PER YEAR)" dataDxfId="75"/>
    <tableColumn id="21" xr3:uid="{769241A0-CAB6-4E39-9DCC-517CBCF70630}" name="QUANTITY" dataDxfId="74">
      <calculatedColumnFormula>IFERROR(VLOOKUP(Table139159[[#This Row],[WORK ORDER]], '1. BUILDING ASSET INVENTORY'!A:K, 10, FALSE),0)</calculatedColumnFormula>
    </tableColumn>
    <tableColumn id="14" xr3:uid="{76B82180-9476-4370-9F0C-04BF9E2C6B5A}" name="Units" dataDxfId="73">
      <calculatedColumnFormula>IFERROR(VLOOKUP(Table139159[[#This Row],[WORK ORDER]], '1. BUILDING ASSET INVENTORY'!A:L, 11, FALSE),"")</calculatedColumnFormula>
    </tableColumn>
    <tableColumn id="11" xr3:uid="{16D82B7B-61F6-4FBB-B959-66BE806EBCFB}" name="OPERATOR HOURS (BASE)" dataDxfId="72"/>
    <tableColumn id="23" xr3:uid="{582F07FF-8D24-41A5-A9AE-9D40C2EB46DB}" name="OPERATOR HOURS (PER UNIT)" dataDxfId="71"/>
    <tableColumn id="22" xr3:uid="{ACC1B49A-7A28-4820-8A40-3E815D753842}" name="TOTAL OPERATOR HOURS" dataDxfId="70">
      <calculatedColumnFormula>Table139159[[#This Row],[OPERATOR HOURS (BASE)]]+Table139159[[#This Row],[QUANTITY]]*Table139159[[#This Row],[OPERATOR HOURS (PER UNIT)]]</calculatedColumnFormula>
    </tableColumn>
    <tableColumn id="16" xr3:uid="{44476932-0629-43E3-9092-2E2C83AABC32}" name="OPERATOR RATE" dataDxfId="69" dataCellStyle="Currency"/>
    <tableColumn id="4" xr3:uid="{2499823F-B0CA-4897-BEA7-43A915881CBE}" name="OPERATOR COST" dataDxfId="68">
      <calculatedColumnFormula>Table139159[[#This Row],[TOTAL OPERATOR HOURS]]*Table139159[[#This Row],[OPERATOR RATE]]</calculatedColumnFormula>
    </tableColumn>
    <tableColumn id="12" xr3:uid="{9B71C4E9-7597-431E-9DA7-D12DF3C15C1D}" name="CONTRACTOR COST" dataDxfId="67" dataCellStyle="Currency"/>
    <tableColumn id="5" xr3:uid="{FBC576BF-03E5-40AB-A20E-39ECD7963289}" name="EQUIPMENT" dataDxfId="66" dataCellStyle="Currency"/>
    <tableColumn id="6" xr3:uid="{A155A4B2-46CC-454F-8C49-4AD4816F7282}" name="PARTS AND MATERIALS" dataDxfId="65" dataCellStyle="Currency"/>
    <tableColumn id="18" xr3:uid="{C8AA8C7C-7C85-4B37-B54D-D34D05AC435D}" name="UTILITIES" dataDxfId="64" dataCellStyle="Currency"/>
    <tableColumn id="15" xr3:uid="{2940634A-F0B8-47EC-B44E-19DED0EE07BA}" name="ANNUAL COST PER WORK ORDER" dataDxfId="63" dataCellStyle="Currency">
      <calculatedColumnFormula>SUM(Table139159[[#This Row],[OPERATOR COST]:[UTILITIES]])*Table139159[[#This Row],[FREQUENCY   (TIMES PER YEAR)]]</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3FC2-C07E-4879-9762-905D2B2A3794}">
  <dimension ref="A1:W45"/>
  <sheetViews>
    <sheetView tabSelected="1" zoomScale="75" zoomScaleNormal="75" workbookViewId="0">
      <selection activeCell="S28" sqref="S28"/>
    </sheetView>
  </sheetViews>
  <sheetFormatPr defaultRowHeight="15" x14ac:dyDescent="0.25"/>
  <cols>
    <col min="8" max="8" width="4.140625" customWidth="1"/>
    <col min="10" max="10" width="25" customWidth="1"/>
    <col min="11" max="11" width="44.140625" customWidth="1"/>
    <col min="12" max="12" width="13.5703125" customWidth="1"/>
    <col min="14" max="14" width="15.28515625" customWidth="1"/>
    <col min="15" max="15" width="15.140625" customWidth="1"/>
  </cols>
  <sheetData>
    <row r="1" spans="1:23" ht="15.75" thickBot="1" x14ac:dyDescent="0.3">
      <c r="A1" s="2"/>
      <c r="B1" s="2"/>
      <c r="C1" s="2"/>
      <c r="D1" s="2"/>
      <c r="E1" s="2"/>
      <c r="F1" s="2"/>
      <c r="G1" s="2"/>
      <c r="H1" s="2"/>
      <c r="I1" s="2"/>
      <c r="J1" s="2"/>
      <c r="K1" s="2"/>
      <c r="L1" s="2"/>
      <c r="M1" s="2"/>
      <c r="N1" s="2"/>
      <c r="O1" s="2"/>
      <c r="P1" s="2"/>
      <c r="Q1" s="2"/>
    </row>
    <row r="2" spans="1:23" x14ac:dyDescent="0.25">
      <c r="A2" s="2"/>
      <c r="B2" s="2"/>
      <c r="C2" s="2"/>
      <c r="D2" s="2"/>
      <c r="E2" s="2"/>
      <c r="F2" s="2"/>
      <c r="G2" s="3"/>
      <c r="I2" s="112"/>
      <c r="J2" s="113"/>
      <c r="K2" s="113"/>
      <c r="L2" s="114"/>
      <c r="M2" s="3"/>
      <c r="N2" s="3"/>
      <c r="O2" s="3"/>
      <c r="P2" s="3"/>
      <c r="Q2" s="3"/>
      <c r="R2" s="3"/>
      <c r="S2" s="3"/>
      <c r="T2" s="3"/>
      <c r="U2" s="3"/>
      <c r="V2" s="3"/>
      <c r="W2" s="3"/>
    </row>
    <row r="3" spans="1:23" x14ac:dyDescent="0.25">
      <c r="A3" s="2"/>
      <c r="B3" s="2"/>
      <c r="C3" s="2"/>
      <c r="D3" s="2"/>
      <c r="E3" s="2"/>
      <c r="F3" s="2"/>
      <c r="G3" s="3"/>
      <c r="I3" s="115"/>
      <c r="J3" s="152" t="s">
        <v>420</v>
      </c>
      <c r="K3" s="153" t="s">
        <v>421</v>
      </c>
      <c r="L3" s="191"/>
      <c r="M3" s="3"/>
      <c r="N3" s="3"/>
      <c r="O3" s="155"/>
      <c r="P3" s="3"/>
      <c r="Q3" s="156"/>
      <c r="R3" s="3"/>
      <c r="S3" s="3"/>
      <c r="T3" s="3"/>
      <c r="U3" s="3"/>
      <c r="V3" s="3"/>
      <c r="W3" s="3"/>
    </row>
    <row r="4" spans="1:23" x14ac:dyDescent="0.25">
      <c r="A4" s="2"/>
      <c r="B4" s="2"/>
      <c r="C4" s="2"/>
      <c r="D4" s="2"/>
      <c r="E4" s="2"/>
      <c r="F4" s="2"/>
      <c r="G4" s="3"/>
      <c r="I4" s="115"/>
      <c r="J4" s="154" t="s">
        <v>422</v>
      </c>
      <c r="K4" s="153" t="s">
        <v>423</v>
      </c>
      <c r="L4" s="191"/>
      <c r="M4" s="3"/>
      <c r="N4" s="3"/>
      <c r="O4" s="155"/>
      <c r="P4" s="3"/>
      <c r="Q4" s="156"/>
      <c r="R4" s="3"/>
      <c r="S4" s="3"/>
      <c r="T4" s="3"/>
      <c r="U4" s="3"/>
      <c r="V4" s="3"/>
      <c r="W4" s="3"/>
    </row>
    <row r="5" spans="1:23" x14ac:dyDescent="0.25">
      <c r="A5" s="2"/>
      <c r="B5" s="2"/>
      <c r="C5" s="2"/>
      <c r="D5" s="2"/>
      <c r="E5" s="2"/>
      <c r="F5" s="2"/>
      <c r="G5" s="3"/>
      <c r="I5" s="115"/>
      <c r="J5" s="173" t="s">
        <v>507</v>
      </c>
      <c r="K5" s="153" t="s">
        <v>508</v>
      </c>
      <c r="L5" s="191"/>
      <c r="M5" s="3"/>
      <c r="N5" s="3"/>
      <c r="O5" s="155"/>
      <c r="P5" s="3"/>
      <c r="Q5" s="156"/>
      <c r="R5" s="3"/>
      <c r="S5" s="3"/>
      <c r="T5" s="3"/>
      <c r="U5" s="3"/>
      <c r="V5" s="3"/>
      <c r="W5" s="3"/>
    </row>
    <row r="6" spans="1:23" ht="15.75" thickBot="1" x14ac:dyDescent="0.3">
      <c r="A6" s="2"/>
      <c r="B6" s="2"/>
      <c r="C6" s="2"/>
      <c r="D6" s="2"/>
      <c r="E6" s="2"/>
      <c r="F6" s="2"/>
      <c r="G6" s="3"/>
      <c r="I6" s="119"/>
      <c r="J6" s="120"/>
      <c r="K6" s="120"/>
      <c r="L6" s="121"/>
      <c r="M6" s="3"/>
      <c r="N6" s="3"/>
      <c r="O6" s="3"/>
      <c r="P6" s="3"/>
      <c r="Q6" s="3"/>
      <c r="R6" s="3"/>
      <c r="S6" s="3"/>
      <c r="T6" s="3"/>
      <c r="U6" s="3"/>
      <c r="V6" s="3"/>
      <c r="W6" s="3"/>
    </row>
    <row r="7" spans="1:23" x14ac:dyDescent="0.25">
      <c r="A7" s="2"/>
      <c r="B7" s="2"/>
      <c r="C7" s="2"/>
      <c r="D7" s="2"/>
      <c r="E7" s="2"/>
      <c r="F7" s="2"/>
      <c r="M7" s="3"/>
      <c r="N7" s="3"/>
      <c r="O7" s="3"/>
      <c r="P7" s="3"/>
      <c r="Q7" s="3"/>
      <c r="R7" s="3"/>
      <c r="S7" s="3"/>
      <c r="T7" s="3"/>
      <c r="U7" s="3"/>
      <c r="V7" s="3"/>
      <c r="W7" s="3"/>
    </row>
    <row r="8" spans="1:23" x14ac:dyDescent="0.25">
      <c r="A8" s="2"/>
      <c r="B8" s="2"/>
      <c r="C8" s="2"/>
      <c r="D8" s="2"/>
      <c r="E8" s="2"/>
      <c r="F8" s="2"/>
      <c r="G8" s="2"/>
      <c r="H8" s="2"/>
      <c r="I8" s="2"/>
      <c r="J8" s="2"/>
      <c r="K8" s="2"/>
      <c r="L8" s="2"/>
      <c r="M8" s="2"/>
      <c r="N8" s="2"/>
      <c r="O8" s="2"/>
      <c r="P8" s="2"/>
      <c r="Q8" s="2"/>
    </row>
    <row r="9" spans="1:23" ht="15.75" thickBot="1" x14ac:dyDescent="0.3">
      <c r="A9" s="2"/>
      <c r="B9" s="2"/>
      <c r="C9" s="2"/>
      <c r="D9" s="2"/>
      <c r="E9" s="2"/>
      <c r="F9" s="2"/>
      <c r="G9" s="2"/>
      <c r="H9" s="2"/>
      <c r="I9" s="2"/>
      <c r="J9" s="2"/>
      <c r="K9" s="2"/>
      <c r="L9" s="2"/>
      <c r="M9" s="3"/>
      <c r="N9" s="3"/>
      <c r="O9" s="3"/>
      <c r="P9" s="2"/>
      <c r="Q9" s="2"/>
    </row>
    <row r="10" spans="1:23" ht="18.75" x14ac:dyDescent="0.25">
      <c r="A10" s="122"/>
      <c r="B10" s="123" t="s">
        <v>509</v>
      </c>
      <c r="C10" s="123"/>
      <c r="D10" s="123"/>
      <c r="E10" s="123"/>
      <c r="F10" s="123"/>
      <c r="G10" s="124"/>
      <c r="H10" s="2"/>
      <c r="I10" s="216" t="s">
        <v>519</v>
      </c>
      <c r="J10" s="217"/>
      <c r="K10" s="217"/>
      <c r="L10" s="218"/>
      <c r="M10" s="3"/>
      <c r="N10" s="3"/>
      <c r="O10" s="3"/>
      <c r="P10" s="2"/>
      <c r="Q10" s="2"/>
    </row>
    <row r="11" spans="1:23" ht="19.5" thickBot="1" x14ac:dyDescent="0.3">
      <c r="A11" s="125"/>
      <c r="B11" s="126"/>
      <c r="C11" s="126"/>
      <c r="D11" s="126"/>
      <c r="E11" s="126"/>
      <c r="F11" s="126"/>
      <c r="G11" s="127"/>
      <c r="H11" s="2"/>
      <c r="I11" s="128"/>
      <c r="J11" s="136"/>
      <c r="K11" s="136"/>
      <c r="L11" s="129"/>
      <c r="M11" s="3"/>
      <c r="N11" s="3"/>
      <c r="O11" s="3"/>
      <c r="P11" s="2"/>
      <c r="Q11" s="2"/>
    </row>
    <row r="12" spans="1:23" x14ac:dyDescent="0.25">
      <c r="A12" s="115"/>
      <c r="B12" s="117" t="s">
        <v>510</v>
      </c>
      <c r="C12" s="116"/>
      <c r="D12" s="116"/>
      <c r="E12" s="116"/>
      <c r="F12" s="116"/>
      <c r="G12" s="118"/>
      <c r="H12" s="2"/>
      <c r="I12" s="115"/>
      <c r="J12" s="172" t="s">
        <v>523</v>
      </c>
      <c r="K12" s="147"/>
      <c r="L12" s="118"/>
      <c r="M12" s="3"/>
      <c r="N12" s="3"/>
      <c r="O12" s="3"/>
      <c r="P12" s="2"/>
      <c r="Q12" s="2"/>
    </row>
    <row r="13" spans="1:23" x14ac:dyDescent="0.25">
      <c r="A13" s="115">
        <v>1</v>
      </c>
      <c r="B13" s="130" t="s">
        <v>517</v>
      </c>
      <c r="C13" s="116"/>
      <c r="D13" s="116"/>
      <c r="E13" s="116"/>
      <c r="F13" s="116"/>
      <c r="G13" s="118"/>
      <c r="H13" s="2"/>
      <c r="I13" s="131"/>
      <c r="J13" s="170" t="s">
        <v>501</v>
      </c>
      <c r="K13" s="171"/>
      <c r="L13" s="118"/>
      <c r="M13" s="3"/>
      <c r="N13" s="3"/>
      <c r="O13" s="3"/>
      <c r="P13" s="2"/>
      <c r="Q13" s="2"/>
    </row>
    <row r="14" spans="1:23" x14ac:dyDescent="0.25">
      <c r="A14" s="115"/>
      <c r="B14" s="130"/>
      <c r="C14" s="116"/>
      <c r="D14" s="116"/>
      <c r="E14" s="116"/>
      <c r="F14" s="116"/>
      <c r="G14" s="118"/>
      <c r="H14" s="2"/>
      <c r="I14" s="131"/>
      <c r="J14" s="146" t="s">
        <v>502</v>
      </c>
      <c r="K14" s="148"/>
      <c r="L14" s="118"/>
      <c r="M14" s="3"/>
      <c r="N14" s="3"/>
      <c r="O14" s="3"/>
      <c r="P14" s="2"/>
      <c r="Q14" s="2"/>
    </row>
    <row r="15" spans="1:23" x14ac:dyDescent="0.25">
      <c r="A15" s="115"/>
      <c r="B15" s="117" t="s">
        <v>511</v>
      </c>
      <c r="C15" s="116"/>
      <c r="D15" s="116"/>
      <c r="E15" s="116"/>
      <c r="F15" s="116"/>
      <c r="G15" s="118"/>
      <c r="H15" s="2"/>
      <c r="I15" s="131"/>
      <c r="J15" s="146" t="s">
        <v>506</v>
      </c>
      <c r="K15" s="149"/>
      <c r="L15" s="118"/>
      <c r="M15" s="3"/>
      <c r="N15" s="3"/>
      <c r="O15" s="3"/>
      <c r="P15" s="2"/>
      <c r="Q15" s="2"/>
    </row>
    <row r="16" spans="1:23" x14ac:dyDescent="0.25">
      <c r="A16" s="115">
        <v>2</v>
      </c>
      <c r="B16" s="132" t="s">
        <v>512</v>
      </c>
      <c r="C16" s="116"/>
      <c r="D16" s="116"/>
      <c r="E16" s="116"/>
      <c r="F16" s="116"/>
      <c r="G16" s="118"/>
      <c r="H16" s="2"/>
      <c r="I16" s="131"/>
      <c r="J16" s="146" t="s">
        <v>521</v>
      </c>
      <c r="K16" s="159"/>
      <c r="L16" s="118"/>
      <c r="M16" s="3"/>
      <c r="N16" s="3"/>
      <c r="O16" s="3"/>
      <c r="P16" s="2"/>
      <c r="Q16" s="2"/>
    </row>
    <row r="17" spans="1:17" x14ac:dyDescent="0.25">
      <c r="A17" s="115">
        <v>3</v>
      </c>
      <c r="B17" s="130" t="s">
        <v>513</v>
      </c>
      <c r="C17" s="116"/>
      <c r="D17" s="116"/>
      <c r="E17" s="116"/>
      <c r="F17" s="116"/>
      <c r="G17" s="118"/>
      <c r="H17" s="2"/>
      <c r="I17" s="131"/>
      <c r="J17" s="146" t="s">
        <v>503</v>
      </c>
      <c r="K17" s="150"/>
      <c r="L17" s="118"/>
      <c r="M17" s="3"/>
      <c r="N17" s="3"/>
      <c r="O17" s="3"/>
      <c r="P17" s="2"/>
      <c r="Q17" s="2"/>
    </row>
    <row r="18" spans="1:17" x14ac:dyDescent="0.25">
      <c r="A18" s="115">
        <v>4</v>
      </c>
      <c r="B18" s="130" t="s">
        <v>514</v>
      </c>
      <c r="C18" s="116"/>
      <c r="D18" s="116"/>
      <c r="E18" s="116"/>
      <c r="F18" s="116"/>
      <c r="G18" s="118"/>
      <c r="H18" s="2"/>
      <c r="I18" s="131"/>
      <c r="J18" s="146" t="s">
        <v>504</v>
      </c>
      <c r="K18" s="150"/>
      <c r="L18" s="118"/>
      <c r="M18" s="3"/>
      <c r="N18" s="3"/>
      <c r="O18" s="3"/>
      <c r="P18" s="2"/>
      <c r="Q18" s="2"/>
    </row>
    <row r="19" spans="1:17" x14ac:dyDescent="0.25">
      <c r="A19" s="115"/>
      <c r="B19" s="132"/>
      <c r="C19" s="116"/>
      <c r="D19" s="116"/>
      <c r="E19" s="116"/>
      <c r="F19" s="116"/>
      <c r="G19" s="118"/>
      <c r="H19" s="2"/>
      <c r="I19" s="131"/>
      <c r="J19" s="192" t="s">
        <v>505</v>
      </c>
      <c r="K19" s="193"/>
      <c r="L19" s="118"/>
      <c r="M19" s="3"/>
      <c r="N19" s="3"/>
      <c r="O19" s="3"/>
      <c r="P19" s="2"/>
      <c r="Q19" s="2"/>
    </row>
    <row r="20" spans="1:17" ht="15.75" thickBot="1" x14ac:dyDescent="0.3">
      <c r="A20" s="115"/>
      <c r="B20" s="117" t="s">
        <v>516</v>
      </c>
      <c r="C20" s="116"/>
      <c r="D20" s="116"/>
      <c r="E20" s="116"/>
      <c r="F20" s="116"/>
      <c r="G20" s="118"/>
      <c r="H20" s="2"/>
      <c r="I20" s="115"/>
      <c r="J20" s="194" t="s">
        <v>531</v>
      </c>
      <c r="K20" s="151"/>
      <c r="L20" s="118"/>
      <c r="M20" s="3"/>
      <c r="N20" s="3"/>
      <c r="O20" s="3"/>
      <c r="P20" s="2"/>
      <c r="Q20" s="2"/>
    </row>
    <row r="21" spans="1:17" x14ac:dyDescent="0.25">
      <c r="A21" s="115">
        <v>5</v>
      </c>
      <c r="B21" s="132" t="s">
        <v>518</v>
      </c>
      <c r="C21" s="116"/>
      <c r="D21" s="116"/>
      <c r="E21" s="116"/>
      <c r="F21" s="116"/>
      <c r="G21" s="118"/>
      <c r="H21" s="2"/>
      <c r="I21" s="115"/>
      <c r="J21" s="116"/>
      <c r="K21" s="116"/>
      <c r="L21" s="118"/>
      <c r="M21" s="3"/>
      <c r="N21" s="3"/>
      <c r="O21" s="3"/>
      <c r="P21" s="2"/>
      <c r="Q21" s="2"/>
    </row>
    <row r="22" spans="1:17" x14ac:dyDescent="0.25">
      <c r="A22" s="115"/>
      <c r="B22" s="132"/>
      <c r="C22" s="116"/>
      <c r="D22" s="116"/>
      <c r="E22" s="116"/>
      <c r="F22" s="116"/>
      <c r="G22" s="118"/>
      <c r="H22" s="2"/>
      <c r="I22" s="115"/>
      <c r="J22" s="219" t="s">
        <v>530</v>
      </c>
      <c r="K22" s="219"/>
      <c r="L22" s="118"/>
      <c r="M22" s="3"/>
      <c r="N22" s="3"/>
      <c r="O22" s="3"/>
      <c r="P22" s="2"/>
      <c r="Q22" s="2"/>
    </row>
    <row r="23" spans="1:17" x14ac:dyDescent="0.25">
      <c r="A23" s="115"/>
      <c r="B23" s="132"/>
      <c r="C23" s="116"/>
      <c r="D23" s="116"/>
      <c r="E23" s="116"/>
      <c r="F23" s="116"/>
      <c r="G23" s="118"/>
      <c r="H23" s="2"/>
      <c r="I23" s="115"/>
      <c r="J23" s="189" t="s">
        <v>529</v>
      </c>
      <c r="K23" s="190" t="s">
        <v>528</v>
      </c>
      <c r="L23" s="118"/>
      <c r="M23" s="3"/>
      <c r="N23" s="3"/>
      <c r="O23" s="3"/>
      <c r="P23" s="2"/>
      <c r="Q23" s="2"/>
    </row>
    <row r="24" spans="1:17" x14ac:dyDescent="0.25">
      <c r="A24" s="131"/>
      <c r="B24" s="132"/>
      <c r="C24" s="116"/>
      <c r="D24" s="116"/>
      <c r="E24" s="116"/>
      <c r="F24" s="116"/>
      <c r="G24" s="118"/>
      <c r="H24" s="2"/>
      <c r="I24" s="115"/>
      <c r="J24" s="195"/>
      <c r="K24" s="195"/>
      <c r="L24" s="118"/>
      <c r="M24" s="3"/>
      <c r="N24" s="3"/>
      <c r="O24" s="3"/>
      <c r="P24" s="2"/>
      <c r="Q24" s="2"/>
    </row>
    <row r="25" spans="1:17" x14ac:dyDescent="0.25">
      <c r="A25" s="131"/>
      <c r="B25" s="132"/>
      <c r="C25" s="116"/>
      <c r="D25" s="116"/>
      <c r="E25" s="116"/>
      <c r="F25" s="116"/>
      <c r="G25" s="118"/>
      <c r="H25" s="2"/>
      <c r="I25" s="115"/>
      <c r="J25" s="195"/>
      <c r="K25" s="195"/>
      <c r="L25" s="118"/>
      <c r="M25" s="3"/>
      <c r="N25" s="3"/>
      <c r="O25" s="3"/>
      <c r="P25" s="2"/>
      <c r="Q25" s="2"/>
    </row>
    <row r="26" spans="1:17" s="2" customFormat="1" x14ac:dyDescent="0.25">
      <c r="A26" s="131"/>
      <c r="B26" s="132"/>
      <c r="C26" s="116"/>
      <c r="D26" s="116"/>
      <c r="E26" s="116"/>
      <c r="F26" s="116"/>
      <c r="G26" s="118"/>
      <c r="I26" s="115"/>
      <c r="J26" s="188"/>
      <c r="K26" s="188"/>
      <c r="L26" s="118"/>
      <c r="M26" s="3"/>
      <c r="N26" s="3"/>
      <c r="O26" s="3"/>
    </row>
    <row r="27" spans="1:17" s="2" customFormat="1" x14ac:dyDescent="0.25">
      <c r="A27" s="131"/>
      <c r="B27" s="132"/>
      <c r="C27" s="116"/>
      <c r="D27" s="116"/>
      <c r="E27" s="116"/>
      <c r="F27" s="116"/>
      <c r="G27" s="118"/>
      <c r="I27" s="115"/>
      <c r="J27" s="188"/>
      <c r="K27" s="188"/>
      <c r="L27" s="118"/>
      <c r="M27" s="3"/>
      <c r="N27" s="3"/>
      <c r="O27" s="3"/>
    </row>
    <row r="28" spans="1:17" s="2" customFormat="1" x14ac:dyDescent="0.25">
      <c r="A28" s="131"/>
      <c r="B28" s="132"/>
      <c r="C28" s="116"/>
      <c r="D28" s="116"/>
      <c r="E28" s="116"/>
      <c r="F28" s="116"/>
      <c r="G28" s="118"/>
      <c r="I28" s="115"/>
      <c r="J28" s="188"/>
      <c r="K28" s="188"/>
      <c r="L28" s="118"/>
      <c r="M28" s="3"/>
      <c r="N28" s="3"/>
      <c r="O28" s="3"/>
    </row>
    <row r="29" spans="1:17" s="2" customFormat="1" x14ac:dyDescent="0.25">
      <c r="A29" s="131"/>
      <c r="B29" s="132"/>
      <c r="C29" s="116"/>
      <c r="D29" s="116"/>
      <c r="E29" s="116"/>
      <c r="F29" s="116"/>
      <c r="G29" s="118"/>
      <c r="I29" s="115"/>
      <c r="J29" s="188"/>
      <c r="K29" s="188"/>
      <c r="L29" s="118"/>
      <c r="M29" s="3"/>
      <c r="N29" s="3"/>
      <c r="O29" s="3"/>
    </row>
    <row r="30" spans="1:17" x14ac:dyDescent="0.25">
      <c r="A30" s="131"/>
      <c r="B30" s="116"/>
      <c r="C30" s="116"/>
      <c r="D30" s="116"/>
      <c r="E30" s="116"/>
      <c r="F30" s="116"/>
      <c r="G30" s="118"/>
      <c r="H30" s="2"/>
      <c r="I30" s="131"/>
      <c r="J30" s="188"/>
      <c r="K30" s="188"/>
      <c r="L30" s="118"/>
      <c r="M30" s="3"/>
      <c r="N30" s="3"/>
      <c r="O30" s="3"/>
      <c r="P30" s="2"/>
      <c r="Q30" s="2"/>
    </row>
    <row r="31" spans="1:17" ht="19.5" thickBot="1" x14ac:dyDescent="0.3">
      <c r="A31" s="131"/>
      <c r="B31" s="116"/>
      <c r="C31" s="116"/>
      <c r="D31" s="116"/>
      <c r="E31" s="132"/>
      <c r="F31" s="117"/>
      <c r="G31" s="118"/>
      <c r="H31" s="2"/>
      <c r="I31" s="137"/>
      <c r="J31" s="211"/>
      <c r="K31" s="211"/>
      <c r="L31" s="212"/>
      <c r="M31" s="3"/>
      <c r="N31" s="3"/>
      <c r="O31" s="3"/>
      <c r="P31" s="2"/>
      <c r="Q31" s="2"/>
    </row>
    <row r="32" spans="1:17" ht="18.75" x14ac:dyDescent="0.25">
      <c r="A32" s="131"/>
      <c r="B32" s="116"/>
      <c r="C32" s="116"/>
      <c r="D32" s="116"/>
      <c r="E32" s="116"/>
      <c r="F32" s="116"/>
      <c r="G32" s="118"/>
      <c r="H32" s="2"/>
      <c r="I32" s="213" t="s">
        <v>515</v>
      </c>
      <c r="J32" s="214"/>
      <c r="K32" s="214"/>
      <c r="L32" s="215"/>
      <c r="M32" s="3"/>
      <c r="N32" s="3"/>
      <c r="O32" s="3"/>
      <c r="P32" s="2"/>
      <c r="Q32" s="2"/>
    </row>
    <row r="33" spans="1:17" ht="15.75" thickBot="1" x14ac:dyDescent="0.3">
      <c r="A33" s="115"/>
      <c r="B33" s="116"/>
      <c r="C33" s="116"/>
      <c r="D33" s="116"/>
      <c r="E33" s="116"/>
      <c r="F33" s="116"/>
      <c r="G33" s="118"/>
      <c r="H33" s="2"/>
      <c r="I33" s="133"/>
      <c r="J33" s="140"/>
      <c r="K33" s="140"/>
      <c r="L33" s="141"/>
      <c r="M33" s="3"/>
      <c r="N33" s="3"/>
      <c r="O33" s="3"/>
      <c r="P33" s="2"/>
      <c r="Q33" s="2"/>
    </row>
    <row r="34" spans="1:17" ht="15.75" thickBot="1" x14ac:dyDescent="0.3">
      <c r="A34" s="115"/>
      <c r="B34" s="116"/>
      <c r="C34" s="116"/>
      <c r="D34" s="116"/>
      <c r="E34" s="116"/>
      <c r="F34" s="116"/>
      <c r="G34" s="118"/>
      <c r="H34" s="2"/>
      <c r="I34" s="131"/>
      <c r="J34" s="168" t="s">
        <v>522</v>
      </c>
      <c r="K34" s="169">
        <v>37.5</v>
      </c>
      <c r="L34" s="143"/>
      <c r="M34" s="3"/>
      <c r="N34" s="3"/>
      <c r="O34" s="3"/>
      <c r="P34" s="2"/>
      <c r="Q34" s="2"/>
    </row>
    <row r="35" spans="1:17" x14ac:dyDescent="0.25">
      <c r="A35" s="115"/>
      <c r="B35" s="116"/>
      <c r="C35" s="116"/>
      <c r="D35" s="116"/>
      <c r="E35" s="116"/>
      <c r="F35" s="116"/>
      <c r="G35" s="118"/>
      <c r="H35" s="2"/>
      <c r="I35" s="131"/>
      <c r="J35" s="142"/>
      <c r="K35" s="142"/>
      <c r="L35" s="143"/>
      <c r="M35" s="3"/>
      <c r="N35" s="3"/>
      <c r="O35" s="3"/>
      <c r="P35" s="2"/>
      <c r="Q35" s="2"/>
    </row>
    <row r="36" spans="1:17" ht="15.75" thickBot="1" x14ac:dyDescent="0.3">
      <c r="A36" s="119"/>
      <c r="B36" s="120"/>
      <c r="C36" s="120"/>
      <c r="D36" s="120"/>
      <c r="E36" s="120"/>
      <c r="F36" s="120"/>
      <c r="G36" s="121"/>
      <c r="H36" s="2"/>
      <c r="I36" s="119"/>
      <c r="J36" s="144"/>
      <c r="K36" s="145"/>
      <c r="L36" s="121"/>
      <c r="M36" s="3"/>
      <c r="N36" s="3"/>
      <c r="O36" s="3"/>
      <c r="P36" s="2"/>
      <c r="Q36" s="2"/>
    </row>
    <row r="37" spans="1:17" x14ac:dyDescent="0.25">
      <c r="A37" s="2"/>
      <c r="B37" s="2"/>
      <c r="C37" s="2"/>
      <c r="D37" s="2"/>
      <c r="E37" s="2"/>
      <c r="F37" s="2"/>
      <c r="G37" s="2"/>
      <c r="H37" s="2"/>
      <c r="I37" s="3"/>
      <c r="J37" s="138"/>
      <c r="K37" s="139"/>
      <c r="L37" s="3"/>
      <c r="M37" s="2"/>
      <c r="N37" s="2"/>
      <c r="O37" s="2"/>
      <c r="P37" s="2"/>
      <c r="Q37" s="2"/>
    </row>
    <row r="38" spans="1:17" x14ac:dyDescent="0.25">
      <c r="A38" s="2"/>
      <c r="B38" s="2"/>
      <c r="C38" s="2"/>
      <c r="D38" s="2"/>
      <c r="E38" s="2"/>
      <c r="F38" s="2"/>
      <c r="G38" s="2"/>
      <c r="H38" s="2"/>
      <c r="I38" s="3"/>
      <c r="J38" s="138"/>
      <c r="K38" s="139"/>
      <c r="L38" s="3"/>
      <c r="M38" s="2"/>
      <c r="N38" s="2"/>
      <c r="O38" s="2"/>
      <c r="P38" s="2"/>
      <c r="Q38" s="2"/>
    </row>
    <row r="39" spans="1:17" x14ac:dyDescent="0.25">
      <c r="A39" s="2"/>
      <c r="B39" s="2"/>
      <c r="C39" s="2"/>
      <c r="D39" s="2"/>
      <c r="E39" s="2"/>
      <c r="F39" s="2"/>
      <c r="G39" s="2"/>
      <c r="H39" s="2"/>
      <c r="I39" s="3"/>
      <c r="J39" s="3"/>
      <c r="K39" s="3"/>
      <c r="L39" s="3"/>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134"/>
      <c r="K42" s="135"/>
      <c r="L42" s="134"/>
      <c r="M42" s="2"/>
      <c r="N42" s="2"/>
      <c r="O42" s="2"/>
      <c r="P42" s="2"/>
      <c r="Q42" s="2"/>
    </row>
    <row r="43" spans="1:17" x14ac:dyDescent="0.25">
      <c r="A43" s="2"/>
      <c r="B43" s="2"/>
      <c r="C43" s="2"/>
      <c r="D43" s="2"/>
      <c r="E43" s="2"/>
      <c r="F43" s="2"/>
      <c r="G43" s="2"/>
      <c r="H43" s="2"/>
      <c r="I43" s="2"/>
      <c r="J43" s="134"/>
      <c r="K43" s="135"/>
      <c r="L43" s="134"/>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sheetData>
  <mergeCells count="4">
    <mergeCell ref="J31:L31"/>
    <mergeCell ref="I32:L32"/>
    <mergeCell ref="I10:L10"/>
    <mergeCell ref="J22:K22"/>
  </mergeCells>
  <hyperlinks>
    <hyperlink ref="B13" location="'1. BUILDING ASSET INVENTORY'!A1" display="Building Asset Inventory" xr:uid="{7A3E68F1-1A7D-483A-A1B0-75E78FDD8134}"/>
    <hyperlink ref="B21" location="'5. WO Data Masterlist'!A1" display="Work Order Data Masterlist" xr:uid="{9198C24F-DC0B-44BD-B531-18102864D70F}"/>
    <hyperlink ref="B31:E31" location="'iv. Annual Mnt. Budget Summary'!A1" display="Annual Maintenance Budget Summary" xr:uid="{BD9220C5-FB56-4D53-9EAD-DFF271F38F70}"/>
    <hyperlink ref="B17" location="'3. SCHEDULE'!A1" display="Annual Maintenance Schedule" xr:uid="{DAFB0224-E6A3-48F9-8771-4355B60172B4}"/>
    <hyperlink ref="B18" location="'4. BUDGET'!A1" display="Annual Maintenance Budget" xr:uid="{DC56C308-6403-418B-8B23-0E4915B5168F}"/>
    <hyperlink ref="B16" location="'2. WORK ORDERS'!A1" display="Required Work Orders" xr:uid="{CBF398E2-94AE-4BCF-96F9-9DF186A631B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622C-E212-445E-800C-EA7D12162D89}">
  <sheetPr>
    <tabColor rgb="FFFFFF00"/>
  </sheetPr>
  <dimension ref="A1:O171"/>
  <sheetViews>
    <sheetView topLeftCell="B1" zoomScale="75" zoomScaleNormal="75" workbookViewId="0">
      <selection activeCell="L27" sqref="L27"/>
    </sheetView>
  </sheetViews>
  <sheetFormatPr defaultColWidth="9.140625" defaultRowHeight="15" x14ac:dyDescent="0.25"/>
  <cols>
    <col min="1" max="1" width="12.5703125" style="2" customWidth="1"/>
    <col min="2" max="2" width="22.28515625" style="2" customWidth="1"/>
    <col min="3" max="3" width="26.7109375" style="2" customWidth="1"/>
    <col min="4" max="4" width="23.7109375" style="6" customWidth="1"/>
    <col min="5" max="5" width="50.7109375" style="2" customWidth="1"/>
    <col min="6" max="6" width="16" style="2" customWidth="1"/>
    <col min="7" max="7" width="13.85546875" style="2" customWidth="1"/>
    <col min="8" max="8" width="2" style="2" hidden="1" customWidth="1"/>
    <col min="9" max="9" width="32.28515625" style="2" customWidth="1"/>
    <col min="10" max="10" width="12.7109375" style="2" customWidth="1"/>
    <col min="11" max="11" width="21" style="2" customWidth="1"/>
    <col min="12" max="12" width="33.7109375" style="2" customWidth="1"/>
    <col min="13" max="14" width="12.140625" style="2" customWidth="1"/>
    <col min="15" max="15" width="68" style="2" customWidth="1"/>
    <col min="16" max="16384" width="9.140625" style="2"/>
  </cols>
  <sheetData>
    <row r="1" spans="1:12" x14ac:dyDescent="0.25">
      <c r="J1" s="5"/>
      <c r="K1" s="5"/>
    </row>
    <row r="2" spans="1:12" x14ac:dyDescent="0.25">
      <c r="D2" s="8"/>
      <c r="E2" s="3"/>
      <c r="K2" s="80" t="s">
        <v>420</v>
      </c>
      <c r="L2" s="82" t="s">
        <v>421</v>
      </c>
    </row>
    <row r="3" spans="1:12" x14ac:dyDescent="0.25">
      <c r="C3" s="39"/>
      <c r="D3" s="4"/>
      <c r="E3" s="4"/>
      <c r="K3" s="81" t="s">
        <v>422</v>
      </c>
      <c r="L3" s="82" t="s">
        <v>423</v>
      </c>
    </row>
    <row r="4" spans="1:12" ht="15" customHeight="1" x14ac:dyDescent="0.25">
      <c r="C4" s="39"/>
      <c r="E4" s="40"/>
      <c r="K4" s="5"/>
      <c r="L4" s="5"/>
    </row>
    <row r="6" spans="1:12" ht="17.25" customHeight="1" thickBot="1" x14ac:dyDescent="0.3"/>
    <row r="7" spans="1:12" x14ac:dyDescent="0.25">
      <c r="B7" s="87" t="s">
        <v>501</v>
      </c>
      <c r="C7" s="87">
        <f>'TABLE OF CONTENTS'!K13</f>
        <v>0</v>
      </c>
    </row>
    <row r="8" spans="1:12" ht="15.75" x14ac:dyDescent="0.25">
      <c r="B8" s="157" t="s">
        <v>502</v>
      </c>
      <c r="C8" s="158">
        <f>'TABLE OF CONTENTS'!K14</f>
        <v>0</v>
      </c>
      <c r="I8" s="1"/>
      <c r="J8" s="48"/>
      <c r="K8" s="5"/>
    </row>
    <row r="9" spans="1:12" x14ac:dyDescent="0.25">
      <c r="B9" s="157" t="s">
        <v>506</v>
      </c>
      <c r="C9" s="158">
        <f>'TABLE OF CONTENTS'!K15</f>
        <v>0</v>
      </c>
      <c r="K9" s="5"/>
    </row>
    <row r="10" spans="1:12" x14ac:dyDescent="0.25">
      <c r="B10" s="157" t="s">
        <v>520</v>
      </c>
      <c r="C10" s="158">
        <f>'TABLE OF CONTENTS'!K16</f>
        <v>0</v>
      </c>
      <c r="K10" s="5"/>
    </row>
    <row r="11" spans="1:12" x14ac:dyDescent="0.25">
      <c r="B11" s="157" t="s">
        <v>503</v>
      </c>
      <c r="C11" s="158">
        <f>'TABLE OF CONTENTS'!K17</f>
        <v>0</v>
      </c>
    </row>
    <row r="12" spans="1:12" x14ac:dyDescent="0.25">
      <c r="B12" s="157" t="s">
        <v>504</v>
      </c>
      <c r="C12" s="158">
        <f>'TABLE OF CONTENTS'!K18</f>
        <v>0</v>
      </c>
    </row>
    <row r="13" spans="1:12" s="7" customFormat="1" ht="16.5" customHeight="1" x14ac:dyDescent="0.25">
      <c r="A13" s="38"/>
      <c r="B13" s="157" t="s">
        <v>505</v>
      </c>
      <c r="C13" s="158">
        <f>'TABLE OF CONTENTS'!K19</f>
        <v>0</v>
      </c>
      <c r="D13" s="6"/>
      <c r="E13" s="2"/>
      <c r="J13" s="90"/>
    </row>
    <row r="14" spans="1:12" s="7" customFormat="1" ht="16.5" customHeight="1" x14ac:dyDescent="0.25">
      <c r="A14" s="38"/>
      <c r="B14" s="185"/>
      <c r="C14" s="184"/>
      <c r="D14" s="6"/>
      <c r="E14" s="2"/>
      <c r="J14" s="90"/>
    </row>
    <row r="15" spans="1:12" s="7" customFormat="1" ht="16.5" customHeight="1" x14ac:dyDescent="0.25">
      <c r="A15" s="38"/>
      <c r="B15" s="185"/>
      <c r="C15" s="184"/>
      <c r="D15" s="6"/>
      <c r="E15" s="2"/>
      <c r="J15" s="90"/>
    </row>
    <row r="16" spans="1:12" ht="15.75" x14ac:dyDescent="0.25">
      <c r="A16" s="1"/>
    </row>
    <row r="17" spans="1:15" ht="45" customHeight="1" x14ac:dyDescent="0.25">
      <c r="A17" s="186" t="s">
        <v>0</v>
      </c>
      <c r="B17" s="88" t="s">
        <v>16</v>
      </c>
      <c r="C17" s="88" t="s">
        <v>17</v>
      </c>
      <c r="D17" s="88" t="s">
        <v>18</v>
      </c>
      <c r="E17" s="89" t="s">
        <v>4</v>
      </c>
      <c r="F17" s="89" t="s">
        <v>203</v>
      </c>
      <c r="G17" s="89" t="s">
        <v>7</v>
      </c>
      <c r="H17" s="89" t="s">
        <v>201</v>
      </c>
      <c r="I17" s="89" t="s">
        <v>434</v>
      </c>
      <c r="J17" s="89" t="s">
        <v>200</v>
      </c>
      <c r="K17" s="89" t="s">
        <v>430</v>
      </c>
      <c r="L17" s="176" t="s">
        <v>498</v>
      </c>
      <c r="M17" s="176" t="s">
        <v>499</v>
      </c>
      <c r="N17" s="176" t="s">
        <v>524</v>
      </c>
      <c r="O17" s="176" t="s">
        <v>1010</v>
      </c>
    </row>
    <row r="18" spans="1:15" s="9" customFormat="1" ht="15.95" customHeight="1" x14ac:dyDescent="0.25">
      <c r="A18" s="177" t="s">
        <v>795</v>
      </c>
      <c r="B18" s="178" t="s">
        <v>36</v>
      </c>
      <c r="C18" s="178" t="s">
        <v>37</v>
      </c>
      <c r="D18" s="178" t="s">
        <v>46</v>
      </c>
      <c r="E18" s="178" t="s">
        <v>205</v>
      </c>
      <c r="F18" s="179" t="s">
        <v>204</v>
      </c>
      <c r="G18" s="177" t="s">
        <v>8</v>
      </c>
      <c r="H18" s="177">
        <v>0</v>
      </c>
      <c r="I18" s="177" t="s">
        <v>435</v>
      </c>
      <c r="J18" s="270"/>
      <c r="K18" s="177" t="s">
        <v>432</v>
      </c>
      <c r="L18" s="177"/>
      <c r="M18" s="177"/>
      <c r="N18" s="177"/>
      <c r="O18" s="177" t="s">
        <v>532</v>
      </c>
    </row>
    <row r="19" spans="1:15" s="9" customFormat="1" ht="15.95" customHeight="1" x14ac:dyDescent="0.25">
      <c r="A19" s="177" t="s">
        <v>796</v>
      </c>
      <c r="B19" s="178" t="s">
        <v>36</v>
      </c>
      <c r="C19" s="178" t="s">
        <v>37</v>
      </c>
      <c r="D19" s="178" t="s">
        <v>47</v>
      </c>
      <c r="E19" s="178" t="s">
        <v>360</v>
      </c>
      <c r="F19" s="179" t="s">
        <v>204</v>
      </c>
      <c r="G19" s="177" t="s">
        <v>8</v>
      </c>
      <c r="H19" s="177">
        <v>1</v>
      </c>
      <c r="I19" s="177" t="s">
        <v>436</v>
      </c>
      <c r="J19" s="270"/>
      <c r="K19" s="177" t="s">
        <v>432</v>
      </c>
      <c r="L19" s="177"/>
      <c r="M19" s="177"/>
      <c r="N19" s="177"/>
      <c r="O19" s="177" t="s">
        <v>532</v>
      </c>
    </row>
    <row r="20" spans="1:15" s="9" customFormat="1" ht="15.95" customHeight="1" x14ac:dyDescent="0.25">
      <c r="A20" s="177" t="s">
        <v>797</v>
      </c>
      <c r="B20" s="178" t="s">
        <v>36</v>
      </c>
      <c r="C20" s="178" t="s">
        <v>37</v>
      </c>
      <c r="D20" s="178" t="s">
        <v>47</v>
      </c>
      <c r="E20" s="178" t="s">
        <v>206</v>
      </c>
      <c r="F20" s="179" t="s">
        <v>204</v>
      </c>
      <c r="G20" s="177" t="s">
        <v>8</v>
      </c>
      <c r="H20" s="177">
        <v>1</v>
      </c>
      <c r="I20" s="177" t="s">
        <v>437</v>
      </c>
      <c r="J20" s="270"/>
      <c r="K20" s="177" t="s">
        <v>432</v>
      </c>
      <c r="L20" s="177"/>
      <c r="M20" s="177"/>
      <c r="N20" s="177"/>
      <c r="O20" s="177" t="s">
        <v>993</v>
      </c>
    </row>
    <row r="21" spans="1:15" s="9" customFormat="1" x14ac:dyDescent="0.25">
      <c r="A21" s="177" t="s">
        <v>798</v>
      </c>
      <c r="B21" s="178" t="s">
        <v>36</v>
      </c>
      <c r="C21" s="178" t="s">
        <v>37</v>
      </c>
      <c r="D21" s="178" t="s">
        <v>46</v>
      </c>
      <c r="E21" s="178" t="s">
        <v>377</v>
      </c>
      <c r="F21" s="179" t="s">
        <v>204</v>
      </c>
      <c r="G21" s="177" t="s">
        <v>9</v>
      </c>
      <c r="H21" s="177">
        <v>52</v>
      </c>
      <c r="I21" s="177" t="s">
        <v>533</v>
      </c>
      <c r="J21" s="270"/>
      <c r="K21" s="177" t="s">
        <v>432</v>
      </c>
      <c r="L21" s="177"/>
      <c r="M21" s="177"/>
      <c r="N21" s="177"/>
      <c r="O21" s="177" t="s">
        <v>532</v>
      </c>
    </row>
    <row r="22" spans="1:15" s="9" customFormat="1" ht="15.95" customHeight="1" x14ac:dyDescent="0.25">
      <c r="A22" s="177" t="s">
        <v>799</v>
      </c>
      <c r="B22" s="178" t="s">
        <v>36</v>
      </c>
      <c r="C22" s="178" t="s">
        <v>38</v>
      </c>
      <c r="D22" s="178" t="s">
        <v>48</v>
      </c>
      <c r="E22" s="178" t="s">
        <v>208</v>
      </c>
      <c r="F22" s="179" t="s">
        <v>204</v>
      </c>
      <c r="G22" s="177" t="s">
        <v>13</v>
      </c>
      <c r="H22" s="177">
        <v>2</v>
      </c>
      <c r="I22" s="177" t="s">
        <v>438</v>
      </c>
      <c r="J22" s="270"/>
      <c r="K22" s="177" t="s">
        <v>432</v>
      </c>
      <c r="L22" s="177"/>
      <c r="M22" s="177"/>
      <c r="N22" s="177"/>
      <c r="O22" s="177" t="s">
        <v>555</v>
      </c>
    </row>
    <row r="23" spans="1:15" s="9" customFormat="1" x14ac:dyDescent="0.25">
      <c r="A23" s="177" t="s">
        <v>800</v>
      </c>
      <c r="B23" s="178" t="s">
        <v>36</v>
      </c>
      <c r="C23" s="178" t="s">
        <v>38</v>
      </c>
      <c r="D23" s="178" t="s">
        <v>48</v>
      </c>
      <c r="E23" s="178" t="s">
        <v>207</v>
      </c>
      <c r="F23" s="179" t="s">
        <v>204</v>
      </c>
      <c r="G23" s="177" t="s">
        <v>8</v>
      </c>
      <c r="H23" s="177">
        <v>1</v>
      </c>
      <c r="I23" s="177" t="s">
        <v>438</v>
      </c>
      <c r="J23" s="270"/>
      <c r="K23" s="177" t="s">
        <v>432</v>
      </c>
      <c r="L23" s="177"/>
      <c r="M23" s="177"/>
      <c r="N23" s="177"/>
      <c r="O23" s="177" t="s">
        <v>994</v>
      </c>
    </row>
    <row r="24" spans="1:15" s="9" customFormat="1" x14ac:dyDescent="0.25">
      <c r="A24" s="177" t="s">
        <v>801</v>
      </c>
      <c r="B24" s="178" t="s">
        <v>36</v>
      </c>
      <c r="C24" s="178" t="s">
        <v>38</v>
      </c>
      <c r="D24" s="178" t="s">
        <v>48</v>
      </c>
      <c r="E24" s="178" t="s">
        <v>209</v>
      </c>
      <c r="F24" s="179" t="s">
        <v>204</v>
      </c>
      <c r="G24" s="177" t="s">
        <v>12</v>
      </c>
      <c r="H24" s="177">
        <v>0</v>
      </c>
      <c r="I24" s="177" t="s">
        <v>553</v>
      </c>
      <c r="J24" s="270"/>
      <c r="K24" s="177" t="s">
        <v>431</v>
      </c>
      <c r="L24" s="177"/>
      <c r="M24" s="177"/>
      <c r="N24" s="177"/>
      <c r="O24" s="177" t="s">
        <v>556</v>
      </c>
    </row>
    <row r="25" spans="1:15" s="9" customFormat="1" x14ac:dyDescent="0.25">
      <c r="A25" s="177" t="s">
        <v>802</v>
      </c>
      <c r="B25" s="178" t="s">
        <v>36</v>
      </c>
      <c r="C25" s="178" t="s">
        <v>38</v>
      </c>
      <c r="D25" s="178" t="s">
        <v>48</v>
      </c>
      <c r="E25" s="178" t="s">
        <v>210</v>
      </c>
      <c r="F25" s="179" t="s">
        <v>204</v>
      </c>
      <c r="G25" s="177" t="s">
        <v>12</v>
      </c>
      <c r="H25" s="177">
        <v>0</v>
      </c>
      <c r="I25" s="177" t="s">
        <v>554</v>
      </c>
      <c r="J25" s="270"/>
      <c r="K25" s="177" t="s">
        <v>431</v>
      </c>
      <c r="L25" s="177"/>
      <c r="M25" s="177"/>
      <c r="N25" s="177"/>
      <c r="O25" s="177" t="s">
        <v>560</v>
      </c>
    </row>
    <row r="26" spans="1:15" s="9" customFormat="1" ht="15.95" customHeight="1" x14ac:dyDescent="0.25">
      <c r="A26" s="177" t="s">
        <v>803</v>
      </c>
      <c r="B26" s="178" t="s">
        <v>36</v>
      </c>
      <c r="C26" s="178" t="s">
        <v>39</v>
      </c>
      <c r="D26" s="178" t="s">
        <v>49</v>
      </c>
      <c r="E26" s="178" t="s">
        <v>211</v>
      </c>
      <c r="F26" s="179" t="s">
        <v>204</v>
      </c>
      <c r="G26" s="177" t="s">
        <v>13</v>
      </c>
      <c r="H26" s="177">
        <v>2</v>
      </c>
      <c r="I26" s="177" t="s">
        <v>439</v>
      </c>
      <c r="J26" s="270"/>
      <c r="K26" s="177" t="s">
        <v>432</v>
      </c>
      <c r="L26" s="177"/>
      <c r="M26" s="177"/>
      <c r="N26" s="177"/>
      <c r="O26" s="177" t="s">
        <v>562</v>
      </c>
    </row>
    <row r="27" spans="1:15" s="9" customFormat="1" x14ac:dyDescent="0.25">
      <c r="A27" s="177" t="s">
        <v>804</v>
      </c>
      <c r="B27" s="178" t="s">
        <v>36</v>
      </c>
      <c r="C27" s="178" t="s">
        <v>39</v>
      </c>
      <c r="D27" s="178" t="s">
        <v>1</v>
      </c>
      <c r="E27" s="178" t="s">
        <v>212</v>
      </c>
      <c r="F27" s="179" t="s">
        <v>204</v>
      </c>
      <c r="G27" s="177" t="s">
        <v>13</v>
      </c>
      <c r="H27" s="177">
        <v>2</v>
      </c>
      <c r="I27" s="177" t="s">
        <v>550</v>
      </c>
      <c r="J27" s="270"/>
      <c r="K27" s="177" t="s">
        <v>431</v>
      </c>
      <c r="L27" s="177"/>
      <c r="M27" s="177"/>
      <c r="N27" s="177"/>
      <c r="O27" s="177" t="s">
        <v>557</v>
      </c>
    </row>
    <row r="28" spans="1:15" s="9" customFormat="1" x14ac:dyDescent="0.25">
      <c r="A28" s="177" t="s">
        <v>805</v>
      </c>
      <c r="B28" s="178" t="s">
        <v>36</v>
      </c>
      <c r="C28" s="178" t="s">
        <v>39</v>
      </c>
      <c r="D28" s="178" t="s">
        <v>49</v>
      </c>
      <c r="E28" s="178" t="s">
        <v>213</v>
      </c>
      <c r="F28" s="179" t="s">
        <v>204</v>
      </c>
      <c r="G28" s="177" t="s">
        <v>10</v>
      </c>
      <c r="H28" s="177">
        <v>12</v>
      </c>
      <c r="I28" s="177" t="s">
        <v>552</v>
      </c>
      <c r="J28" s="270"/>
      <c r="K28" s="177" t="s">
        <v>431</v>
      </c>
      <c r="L28" s="177"/>
      <c r="M28" s="177"/>
      <c r="N28" s="177"/>
      <c r="O28" s="177" t="s">
        <v>561</v>
      </c>
    </row>
    <row r="29" spans="1:15" s="9" customFormat="1" x14ac:dyDescent="0.25">
      <c r="A29" s="177" t="s">
        <v>806</v>
      </c>
      <c r="B29" s="178" t="s">
        <v>36</v>
      </c>
      <c r="C29" s="178" t="s">
        <v>39</v>
      </c>
      <c r="D29" s="178" t="s">
        <v>49</v>
      </c>
      <c r="E29" s="178" t="s">
        <v>214</v>
      </c>
      <c r="F29" s="179" t="s">
        <v>204</v>
      </c>
      <c r="G29" s="177" t="s">
        <v>11</v>
      </c>
      <c r="H29" s="177">
        <v>4</v>
      </c>
      <c r="I29" s="177" t="s">
        <v>439</v>
      </c>
      <c r="J29" s="270"/>
      <c r="K29" s="177" t="s">
        <v>432</v>
      </c>
      <c r="L29" s="177"/>
      <c r="M29" s="177"/>
      <c r="N29" s="177"/>
      <c r="O29" s="177" t="s">
        <v>995</v>
      </c>
    </row>
    <row r="30" spans="1:15" s="9" customFormat="1" ht="15.95" customHeight="1" x14ac:dyDescent="0.25">
      <c r="A30" s="177" t="s">
        <v>807</v>
      </c>
      <c r="B30" s="178" t="s">
        <v>36</v>
      </c>
      <c r="C30" s="178" t="s">
        <v>40</v>
      </c>
      <c r="D30" s="177" t="s">
        <v>440</v>
      </c>
      <c r="E30" s="178" t="s">
        <v>214</v>
      </c>
      <c r="F30" s="179" t="s">
        <v>204</v>
      </c>
      <c r="G30" s="177" t="s">
        <v>11</v>
      </c>
      <c r="H30" s="177">
        <v>4</v>
      </c>
      <c r="I30" s="178" t="s">
        <v>1</v>
      </c>
      <c r="J30" s="270"/>
      <c r="K30" s="177" t="s">
        <v>431</v>
      </c>
      <c r="L30" s="200"/>
      <c r="M30" s="177"/>
      <c r="N30" s="177"/>
      <c r="O30" s="177" t="s">
        <v>563</v>
      </c>
    </row>
    <row r="31" spans="1:15" s="9" customFormat="1" x14ac:dyDescent="0.25">
      <c r="A31" s="177" t="s">
        <v>808</v>
      </c>
      <c r="B31" s="178" t="s">
        <v>36</v>
      </c>
      <c r="C31" s="178" t="s">
        <v>40</v>
      </c>
      <c r="D31" s="177" t="s">
        <v>440</v>
      </c>
      <c r="E31" s="178" t="s">
        <v>375</v>
      </c>
      <c r="F31" s="179" t="s">
        <v>204</v>
      </c>
      <c r="G31" s="177" t="s">
        <v>12</v>
      </c>
      <c r="H31" s="177">
        <v>2</v>
      </c>
      <c r="I31" s="178" t="s">
        <v>1</v>
      </c>
      <c r="J31" s="270"/>
      <c r="K31" s="177" t="s">
        <v>431</v>
      </c>
      <c r="L31" s="200"/>
      <c r="M31" s="177"/>
      <c r="N31" s="177"/>
      <c r="O31" s="177" t="s">
        <v>564</v>
      </c>
    </row>
    <row r="32" spans="1:15" s="9" customFormat="1" x14ac:dyDescent="0.25">
      <c r="A32" s="177" t="s">
        <v>809</v>
      </c>
      <c r="B32" s="178" t="s">
        <v>36</v>
      </c>
      <c r="C32" s="178" t="s">
        <v>40</v>
      </c>
      <c r="D32" s="177" t="s">
        <v>440</v>
      </c>
      <c r="E32" s="178" t="s">
        <v>215</v>
      </c>
      <c r="F32" s="179" t="s">
        <v>204</v>
      </c>
      <c r="G32" s="177" t="s">
        <v>8</v>
      </c>
      <c r="H32" s="177">
        <v>1</v>
      </c>
      <c r="I32" s="178" t="s">
        <v>50</v>
      </c>
      <c r="J32" s="270"/>
      <c r="K32" s="177" t="s">
        <v>432</v>
      </c>
      <c r="L32" s="200"/>
      <c r="M32" s="177"/>
      <c r="N32" s="177"/>
      <c r="O32" s="177" t="s">
        <v>565</v>
      </c>
    </row>
    <row r="33" spans="1:15" s="9" customFormat="1" x14ac:dyDescent="0.25">
      <c r="A33" s="177" t="s">
        <v>810</v>
      </c>
      <c r="B33" s="178" t="s">
        <v>36</v>
      </c>
      <c r="C33" s="178" t="s">
        <v>40</v>
      </c>
      <c r="D33" s="177" t="s">
        <v>440</v>
      </c>
      <c r="E33" s="178" t="s">
        <v>216</v>
      </c>
      <c r="F33" s="179" t="s">
        <v>204</v>
      </c>
      <c r="G33" s="177" t="s">
        <v>8</v>
      </c>
      <c r="H33" s="177">
        <v>1</v>
      </c>
      <c r="I33" s="178" t="s">
        <v>50</v>
      </c>
      <c r="J33" s="270"/>
      <c r="K33" s="177" t="s">
        <v>432</v>
      </c>
      <c r="L33" s="200"/>
      <c r="M33" s="177"/>
      <c r="N33" s="177"/>
      <c r="O33" s="177" t="s">
        <v>1002</v>
      </c>
    </row>
    <row r="34" spans="1:15" s="9" customFormat="1" ht="15.95" customHeight="1" x14ac:dyDescent="0.25">
      <c r="A34" s="180" t="s">
        <v>811</v>
      </c>
      <c r="B34" s="178" t="s">
        <v>36</v>
      </c>
      <c r="C34" s="178" t="s">
        <v>41</v>
      </c>
      <c r="D34" s="178" t="s">
        <v>51</v>
      </c>
      <c r="E34" s="178" t="s">
        <v>376</v>
      </c>
      <c r="F34" s="179" t="s">
        <v>204</v>
      </c>
      <c r="G34" s="177" t="s">
        <v>8</v>
      </c>
      <c r="H34" s="177">
        <v>0</v>
      </c>
      <c r="I34" s="177" t="s">
        <v>441</v>
      </c>
      <c r="J34" s="270"/>
      <c r="K34" s="177" t="s">
        <v>433</v>
      </c>
      <c r="L34" s="177"/>
      <c r="M34" s="177"/>
      <c r="N34" s="177"/>
      <c r="O34" s="177" t="s">
        <v>566</v>
      </c>
    </row>
    <row r="35" spans="1:15" s="9" customFormat="1" ht="30" x14ac:dyDescent="0.25">
      <c r="A35" s="180" t="s">
        <v>812</v>
      </c>
      <c r="B35" s="178" t="s">
        <v>36</v>
      </c>
      <c r="C35" s="178" t="s">
        <v>41</v>
      </c>
      <c r="D35" s="178" t="s">
        <v>51</v>
      </c>
      <c r="E35" s="178" t="s">
        <v>378</v>
      </c>
      <c r="F35" s="179" t="s">
        <v>204</v>
      </c>
      <c r="G35" s="177" t="s">
        <v>8</v>
      </c>
      <c r="H35" s="177">
        <v>0</v>
      </c>
      <c r="I35" s="177" t="s">
        <v>441</v>
      </c>
      <c r="J35" s="270"/>
      <c r="K35" s="177" t="s">
        <v>433</v>
      </c>
      <c r="L35" s="177"/>
      <c r="M35" s="177"/>
      <c r="N35" s="177"/>
      <c r="O35" s="177" t="s">
        <v>1003</v>
      </c>
    </row>
    <row r="36" spans="1:15" s="9" customFormat="1" ht="15.95" customHeight="1" x14ac:dyDescent="0.25">
      <c r="A36" s="180" t="s">
        <v>813</v>
      </c>
      <c r="B36" s="178" t="s">
        <v>36</v>
      </c>
      <c r="C36" s="178" t="s">
        <v>41</v>
      </c>
      <c r="D36" s="178" t="s">
        <v>52</v>
      </c>
      <c r="E36" s="178" t="s">
        <v>218</v>
      </c>
      <c r="F36" s="179" t="s">
        <v>204</v>
      </c>
      <c r="G36" s="177" t="s">
        <v>12</v>
      </c>
      <c r="H36" s="177">
        <v>0</v>
      </c>
      <c r="I36" s="177" t="s">
        <v>442</v>
      </c>
      <c r="J36" s="270"/>
      <c r="K36" s="177" t="s">
        <v>431</v>
      </c>
      <c r="L36" s="177"/>
      <c r="M36" s="177"/>
      <c r="N36" s="177"/>
      <c r="O36" s="177" t="s">
        <v>567</v>
      </c>
    </row>
    <row r="37" spans="1:15" s="9" customFormat="1" ht="15.95" customHeight="1" x14ac:dyDescent="0.25">
      <c r="A37" s="177" t="s">
        <v>814</v>
      </c>
      <c r="B37" s="178" t="s">
        <v>36</v>
      </c>
      <c r="C37" s="178" t="s">
        <v>42</v>
      </c>
      <c r="D37" s="178" t="s">
        <v>54</v>
      </c>
      <c r="E37" s="178" t="s">
        <v>376</v>
      </c>
      <c r="F37" s="179" t="s">
        <v>204</v>
      </c>
      <c r="G37" s="177" t="s">
        <v>13</v>
      </c>
      <c r="H37" s="177">
        <v>2</v>
      </c>
      <c r="I37" s="177" t="s">
        <v>443</v>
      </c>
      <c r="J37" s="270"/>
      <c r="K37" s="177" t="s">
        <v>432</v>
      </c>
      <c r="L37" s="177"/>
      <c r="M37" s="177"/>
      <c r="N37" s="177"/>
      <c r="O37" s="177" t="s">
        <v>568</v>
      </c>
    </row>
    <row r="38" spans="1:15" s="9" customFormat="1" x14ac:dyDescent="0.25">
      <c r="A38" s="177" t="s">
        <v>815</v>
      </c>
      <c r="B38" s="178" t="s">
        <v>36</v>
      </c>
      <c r="C38" s="178" t="s">
        <v>42</v>
      </c>
      <c r="D38" s="178" t="s">
        <v>54</v>
      </c>
      <c r="E38" s="178" t="s">
        <v>219</v>
      </c>
      <c r="F38" s="179" t="s">
        <v>204</v>
      </c>
      <c r="G38" s="177" t="s">
        <v>11</v>
      </c>
      <c r="H38" s="177">
        <v>4</v>
      </c>
      <c r="I38" s="177" t="s">
        <v>443</v>
      </c>
      <c r="J38" s="270"/>
      <c r="K38" s="177" t="s">
        <v>432</v>
      </c>
      <c r="L38" s="177"/>
      <c r="M38" s="177"/>
      <c r="N38" s="177"/>
      <c r="O38" s="177" t="s">
        <v>1001</v>
      </c>
    </row>
    <row r="39" spans="1:15" s="9" customFormat="1" ht="15.95" customHeight="1" x14ac:dyDescent="0.25">
      <c r="A39" s="177" t="s">
        <v>816</v>
      </c>
      <c r="B39" s="178" t="s">
        <v>36</v>
      </c>
      <c r="C39" s="178" t="s">
        <v>42</v>
      </c>
      <c r="D39" s="178" t="s">
        <v>55</v>
      </c>
      <c r="E39" s="178" t="s">
        <v>220</v>
      </c>
      <c r="F39" s="179" t="s">
        <v>204</v>
      </c>
      <c r="G39" s="177" t="s">
        <v>13</v>
      </c>
      <c r="H39" s="177">
        <v>2</v>
      </c>
      <c r="I39" s="177" t="s">
        <v>444</v>
      </c>
      <c r="J39" s="270"/>
      <c r="K39" s="177" t="s">
        <v>432</v>
      </c>
      <c r="L39" s="177"/>
      <c r="M39" s="177"/>
      <c r="N39" s="177"/>
      <c r="O39" s="177" t="s">
        <v>569</v>
      </c>
    </row>
    <row r="40" spans="1:15" s="9" customFormat="1" x14ac:dyDescent="0.25">
      <c r="A40" s="177" t="s">
        <v>817</v>
      </c>
      <c r="B40" s="178" t="s">
        <v>36</v>
      </c>
      <c r="C40" s="178" t="s">
        <v>42</v>
      </c>
      <c r="D40" s="178" t="s">
        <v>337</v>
      </c>
      <c r="E40" s="178" t="s">
        <v>340</v>
      </c>
      <c r="F40" s="179" t="s">
        <v>204</v>
      </c>
      <c r="G40" s="177" t="s">
        <v>12</v>
      </c>
      <c r="H40" s="177">
        <v>6</v>
      </c>
      <c r="I40" s="177" t="s">
        <v>445</v>
      </c>
      <c r="J40" s="270"/>
      <c r="K40" s="177" t="s">
        <v>432</v>
      </c>
      <c r="L40" s="177"/>
      <c r="M40" s="177"/>
      <c r="N40" s="177"/>
      <c r="O40" s="177" t="s">
        <v>1000</v>
      </c>
    </row>
    <row r="41" spans="1:15" s="9" customFormat="1" ht="15.95" hidden="1" customHeight="1" x14ac:dyDescent="0.25">
      <c r="A41" s="177" t="s">
        <v>870</v>
      </c>
      <c r="B41" s="178" t="s">
        <v>36</v>
      </c>
      <c r="C41" s="178" t="s">
        <v>42</v>
      </c>
      <c r="D41" s="178" t="s">
        <v>361</v>
      </c>
      <c r="E41" s="178" t="s">
        <v>362</v>
      </c>
      <c r="F41" s="179" t="s">
        <v>217</v>
      </c>
      <c r="G41" s="177" t="s">
        <v>12</v>
      </c>
      <c r="H41" s="177">
        <v>0</v>
      </c>
      <c r="I41" s="177" t="s">
        <v>446</v>
      </c>
      <c r="J41" s="201"/>
      <c r="K41" s="177" t="s">
        <v>431</v>
      </c>
      <c r="L41" s="177"/>
      <c r="M41" s="177"/>
      <c r="N41" s="177"/>
      <c r="O41" s="177" t="s">
        <v>570</v>
      </c>
    </row>
    <row r="42" spans="1:15" s="9" customFormat="1" ht="15.95" hidden="1" customHeight="1" x14ac:dyDescent="0.25">
      <c r="A42" s="177" t="s">
        <v>871</v>
      </c>
      <c r="B42" s="178" t="s">
        <v>36</v>
      </c>
      <c r="C42" s="178" t="s">
        <v>43</v>
      </c>
      <c r="D42" s="178" t="s">
        <v>683</v>
      </c>
      <c r="E42" s="178" t="s">
        <v>221</v>
      </c>
      <c r="F42" s="179" t="s">
        <v>217</v>
      </c>
      <c r="G42" s="177" t="s">
        <v>35</v>
      </c>
      <c r="H42" s="177">
        <f>1/5</f>
        <v>0.2</v>
      </c>
      <c r="I42" s="177" t="s">
        <v>20</v>
      </c>
      <c r="J42" s="201"/>
      <c r="K42" s="177" t="s">
        <v>433</v>
      </c>
      <c r="L42" s="177"/>
      <c r="M42" s="177"/>
      <c r="N42" s="177"/>
      <c r="O42" s="177" t="s">
        <v>571</v>
      </c>
    </row>
    <row r="43" spans="1:15" s="9" customFormat="1" x14ac:dyDescent="0.25">
      <c r="A43" s="177" t="s">
        <v>818</v>
      </c>
      <c r="B43" s="178" t="s">
        <v>36</v>
      </c>
      <c r="C43" s="178" t="s">
        <v>43</v>
      </c>
      <c r="D43" s="178" t="s">
        <v>683</v>
      </c>
      <c r="E43" s="178" t="s">
        <v>222</v>
      </c>
      <c r="F43" s="179" t="s">
        <v>204</v>
      </c>
      <c r="G43" s="177" t="s">
        <v>12</v>
      </c>
      <c r="H43" s="177">
        <v>1</v>
      </c>
      <c r="I43" s="177" t="s">
        <v>447</v>
      </c>
      <c r="J43" s="270"/>
      <c r="K43" s="177" t="s">
        <v>433</v>
      </c>
      <c r="L43" s="177"/>
      <c r="M43" s="177"/>
      <c r="N43" s="177"/>
      <c r="O43" s="177" t="s">
        <v>996</v>
      </c>
    </row>
    <row r="44" spans="1:15" s="9" customFormat="1" ht="15.95" hidden="1" customHeight="1" x14ac:dyDescent="0.25">
      <c r="A44" s="177" t="s">
        <v>872</v>
      </c>
      <c r="B44" s="178" t="s">
        <v>36</v>
      </c>
      <c r="C44" s="178" t="s">
        <v>44</v>
      </c>
      <c r="D44" s="178" t="s">
        <v>56</v>
      </c>
      <c r="E44" s="178" t="s">
        <v>368</v>
      </c>
      <c r="F44" s="179" t="s">
        <v>217</v>
      </c>
      <c r="G44" s="177" t="s">
        <v>35</v>
      </c>
      <c r="H44" s="177">
        <f>1/5</f>
        <v>0.2</v>
      </c>
      <c r="I44" s="177" t="s">
        <v>448</v>
      </c>
      <c r="J44" s="201"/>
      <c r="K44" s="177" t="s">
        <v>432</v>
      </c>
      <c r="L44" s="177"/>
      <c r="M44" s="177"/>
      <c r="N44" s="177"/>
      <c r="O44" s="177" t="s">
        <v>572</v>
      </c>
    </row>
    <row r="45" spans="1:15" s="9" customFormat="1" x14ac:dyDescent="0.25">
      <c r="A45" s="177" t="s">
        <v>819</v>
      </c>
      <c r="B45" s="178" t="s">
        <v>36</v>
      </c>
      <c r="C45" s="178" t="s">
        <v>44</v>
      </c>
      <c r="D45" s="178" t="s">
        <v>57</v>
      </c>
      <c r="E45" s="178" t="s">
        <v>369</v>
      </c>
      <c r="F45" s="179" t="s">
        <v>204</v>
      </c>
      <c r="G45" s="177" t="s">
        <v>35</v>
      </c>
      <c r="H45" s="177">
        <f>1/5</f>
        <v>0.2</v>
      </c>
      <c r="I45" s="177" t="s">
        <v>448</v>
      </c>
      <c r="J45" s="270"/>
      <c r="K45" s="177" t="s">
        <v>432</v>
      </c>
      <c r="L45" s="177"/>
      <c r="M45" s="177"/>
      <c r="N45" s="177"/>
      <c r="O45" s="177" t="s">
        <v>997</v>
      </c>
    </row>
    <row r="46" spans="1:15" s="7" customFormat="1" x14ac:dyDescent="0.25">
      <c r="A46" s="177" t="s">
        <v>820</v>
      </c>
      <c r="B46" s="178" t="s">
        <v>36</v>
      </c>
      <c r="C46" s="178" t="s">
        <v>44</v>
      </c>
      <c r="D46" s="178" t="s">
        <v>57</v>
      </c>
      <c r="E46" s="178" t="s">
        <v>223</v>
      </c>
      <c r="F46" s="179" t="s">
        <v>204</v>
      </c>
      <c r="G46" s="177" t="s">
        <v>13</v>
      </c>
      <c r="H46" s="177">
        <v>2</v>
      </c>
      <c r="I46" s="177" t="s">
        <v>448</v>
      </c>
      <c r="J46" s="270"/>
      <c r="K46" s="177" t="s">
        <v>432</v>
      </c>
      <c r="L46" s="177"/>
      <c r="M46" s="177"/>
      <c r="N46" s="177"/>
      <c r="O46" s="177" t="s">
        <v>997</v>
      </c>
    </row>
    <row r="47" spans="1:15" s="9" customFormat="1" x14ac:dyDescent="0.25">
      <c r="A47" s="177" t="s">
        <v>821</v>
      </c>
      <c r="B47" s="178" t="s">
        <v>36</v>
      </c>
      <c r="C47" s="178" t="s">
        <v>44</v>
      </c>
      <c r="D47" s="178" t="s">
        <v>57</v>
      </c>
      <c r="E47" s="178" t="s">
        <v>339</v>
      </c>
      <c r="F47" s="181" t="s">
        <v>204</v>
      </c>
      <c r="G47" s="178" t="s">
        <v>12</v>
      </c>
      <c r="H47" s="178">
        <v>1</v>
      </c>
      <c r="I47" s="177" t="s">
        <v>448</v>
      </c>
      <c r="J47" s="271"/>
      <c r="K47" s="177" t="s">
        <v>432</v>
      </c>
      <c r="L47" s="177"/>
      <c r="M47" s="177"/>
      <c r="N47" s="177"/>
      <c r="O47" s="177" t="s">
        <v>997</v>
      </c>
    </row>
    <row r="48" spans="1:15" s="9" customFormat="1" ht="15.95" customHeight="1" x14ac:dyDescent="0.25">
      <c r="A48" s="177" t="s">
        <v>822</v>
      </c>
      <c r="B48" s="178" t="s">
        <v>36</v>
      </c>
      <c r="C48" s="178" t="s">
        <v>44</v>
      </c>
      <c r="D48" s="178" t="s">
        <v>55</v>
      </c>
      <c r="E48" s="178" t="s">
        <v>224</v>
      </c>
      <c r="F48" s="179" t="s">
        <v>204</v>
      </c>
      <c r="G48" s="177" t="s">
        <v>13</v>
      </c>
      <c r="H48" s="177">
        <v>0</v>
      </c>
      <c r="I48" s="177" t="s">
        <v>474</v>
      </c>
      <c r="J48" s="270"/>
      <c r="K48" s="177" t="s">
        <v>432</v>
      </c>
      <c r="L48" s="177"/>
      <c r="M48" s="177"/>
      <c r="N48" s="177"/>
      <c r="O48" s="177" t="s">
        <v>573</v>
      </c>
    </row>
    <row r="49" spans="1:15" s="9" customFormat="1" x14ac:dyDescent="0.25">
      <c r="A49" s="177" t="s">
        <v>823</v>
      </c>
      <c r="B49" s="178" t="s">
        <v>36</v>
      </c>
      <c r="C49" s="178" t="s">
        <v>44</v>
      </c>
      <c r="D49" s="178" t="s">
        <v>55</v>
      </c>
      <c r="E49" s="178" t="s">
        <v>225</v>
      </c>
      <c r="F49" s="179" t="s">
        <v>204</v>
      </c>
      <c r="G49" s="177" t="s">
        <v>13</v>
      </c>
      <c r="H49" s="177">
        <v>2</v>
      </c>
      <c r="I49" s="177" t="s">
        <v>474</v>
      </c>
      <c r="J49" s="270"/>
      <c r="K49" s="177" t="s">
        <v>432</v>
      </c>
      <c r="L49" s="177"/>
      <c r="M49" s="177"/>
      <c r="N49" s="177"/>
      <c r="O49" s="177" t="s">
        <v>998</v>
      </c>
    </row>
    <row r="50" spans="1:15" s="9" customFormat="1" x14ac:dyDescent="0.25">
      <c r="A50" s="177" t="s">
        <v>824</v>
      </c>
      <c r="B50" s="178" t="s">
        <v>36</v>
      </c>
      <c r="C50" s="178" t="s">
        <v>44</v>
      </c>
      <c r="D50" s="178" t="s">
        <v>55</v>
      </c>
      <c r="E50" s="178" t="s">
        <v>226</v>
      </c>
      <c r="F50" s="179" t="s">
        <v>204</v>
      </c>
      <c r="G50" s="177" t="s">
        <v>8</v>
      </c>
      <c r="H50" s="177">
        <v>0</v>
      </c>
      <c r="I50" s="177" t="s">
        <v>474</v>
      </c>
      <c r="J50" s="270"/>
      <c r="K50" s="177" t="s">
        <v>432</v>
      </c>
      <c r="L50" s="177"/>
      <c r="M50" s="177"/>
      <c r="N50" s="177"/>
      <c r="O50" s="177" t="s">
        <v>998</v>
      </c>
    </row>
    <row r="51" spans="1:15" s="9" customFormat="1" x14ac:dyDescent="0.25">
      <c r="A51" s="177" t="s">
        <v>825</v>
      </c>
      <c r="B51" s="178" t="s">
        <v>36</v>
      </c>
      <c r="C51" s="178" t="s">
        <v>44</v>
      </c>
      <c r="D51" s="178" t="s">
        <v>337</v>
      </c>
      <c r="E51" s="178" t="s">
        <v>338</v>
      </c>
      <c r="F51" s="179" t="s">
        <v>204</v>
      </c>
      <c r="G51" s="177" t="s">
        <v>12</v>
      </c>
      <c r="H51" s="177">
        <v>4</v>
      </c>
      <c r="I51" s="177" t="s">
        <v>475</v>
      </c>
      <c r="J51" s="270"/>
      <c r="K51" s="177" t="s">
        <v>432</v>
      </c>
      <c r="L51" s="177"/>
      <c r="M51" s="177"/>
      <c r="N51" s="177"/>
      <c r="O51" s="177" t="s">
        <v>999</v>
      </c>
    </row>
    <row r="52" spans="1:15" s="9" customFormat="1" hidden="1" x14ac:dyDescent="0.25">
      <c r="A52" s="177" t="s">
        <v>873</v>
      </c>
      <c r="B52" s="178" t="s">
        <v>36</v>
      </c>
      <c r="C52" s="178" t="s">
        <v>45</v>
      </c>
      <c r="D52" s="178" t="s">
        <v>19</v>
      </c>
      <c r="E52" s="178" t="s">
        <v>227</v>
      </c>
      <c r="F52" s="179" t="s">
        <v>217</v>
      </c>
      <c r="G52" s="177" t="s">
        <v>12</v>
      </c>
      <c r="H52" s="177">
        <v>0.2</v>
      </c>
      <c r="I52" s="177" t="s">
        <v>19</v>
      </c>
      <c r="J52" s="201"/>
      <c r="K52" s="177" t="s">
        <v>431</v>
      </c>
      <c r="L52" s="177"/>
      <c r="M52" s="177"/>
      <c r="N52" s="177"/>
      <c r="O52" s="177" t="s">
        <v>574</v>
      </c>
    </row>
    <row r="53" spans="1:15" s="9" customFormat="1" ht="15.95" customHeight="1" x14ac:dyDescent="0.25">
      <c r="A53" s="177" t="s">
        <v>826</v>
      </c>
      <c r="B53" s="178" t="s">
        <v>36</v>
      </c>
      <c r="C53" s="178" t="s">
        <v>45</v>
      </c>
      <c r="D53" s="178" t="s">
        <v>228</v>
      </c>
      <c r="E53" s="178" t="s">
        <v>229</v>
      </c>
      <c r="F53" s="179" t="s">
        <v>204</v>
      </c>
      <c r="G53" s="177" t="s">
        <v>230</v>
      </c>
      <c r="H53" s="177">
        <f>1/3</f>
        <v>0.33333333333333331</v>
      </c>
      <c r="I53" s="177" t="s">
        <v>476</v>
      </c>
      <c r="J53" s="270"/>
      <c r="K53" s="177" t="s">
        <v>431</v>
      </c>
      <c r="L53" s="177"/>
      <c r="M53" s="177"/>
      <c r="N53" s="177"/>
      <c r="O53" s="177" t="s">
        <v>575</v>
      </c>
    </row>
    <row r="54" spans="1:15" s="9" customFormat="1" ht="15.95" customHeight="1" x14ac:dyDescent="0.25">
      <c r="A54" s="177" t="s">
        <v>827</v>
      </c>
      <c r="B54" s="178" t="s">
        <v>36</v>
      </c>
      <c r="C54" s="178" t="s">
        <v>45</v>
      </c>
      <c r="D54" s="178" t="s">
        <v>231</v>
      </c>
      <c r="E54" s="178" t="s">
        <v>232</v>
      </c>
      <c r="F54" s="179" t="s">
        <v>204</v>
      </c>
      <c r="G54" s="177" t="s">
        <v>12</v>
      </c>
      <c r="H54" s="177">
        <v>1</v>
      </c>
      <c r="I54" s="177" t="s">
        <v>231</v>
      </c>
      <c r="J54" s="270"/>
      <c r="K54" s="177" t="s">
        <v>433</v>
      </c>
      <c r="L54" s="177"/>
      <c r="M54" s="177"/>
      <c r="N54" s="177"/>
      <c r="O54" s="177" t="s">
        <v>576</v>
      </c>
    </row>
    <row r="55" spans="1:15" ht="30" x14ac:dyDescent="0.25">
      <c r="A55" s="177" t="s">
        <v>828</v>
      </c>
      <c r="B55" s="178" t="s">
        <v>64</v>
      </c>
      <c r="C55" s="178" t="s">
        <v>62</v>
      </c>
      <c r="D55" s="178" t="s">
        <v>341</v>
      </c>
      <c r="E55" s="178" t="s">
        <v>370</v>
      </c>
      <c r="F55" s="182" t="s">
        <v>204</v>
      </c>
      <c r="G55" s="177" t="s">
        <v>8</v>
      </c>
      <c r="H55" s="177">
        <v>1</v>
      </c>
      <c r="I55" s="177" t="s">
        <v>341</v>
      </c>
      <c r="J55" s="270"/>
      <c r="K55" s="177" t="s">
        <v>431</v>
      </c>
      <c r="L55" s="177"/>
      <c r="M55" s="177"/>
      <c r="N55" s="177"/>
      <c r="O55" s="177" t="s">
        <v>577</v>
      </c>
    </row>
    <row r="56" spans="1:15" x14ac:dyDescent="0.25">
      <c r="A56" s="177" t="s">
        <v>829</v>
      </c>
      <c r="B56" s="178" t="s">
        <v>64</v>
      </c>
      <c r="C56" s="178" t="s">
        <v>62</v>
      </c>
      <c r="D56" s="178" t="s">
        <v>341</v>
      </c>
      <c r="E56" s="178" t="s">
        <v>233</v>
      </c>
      <c r="F56" s="179" t="s">
        <v>204</v>
      </c>
      <c r="G56" s="177" t="s">
        <v>12</v>
      </c>
      <c r="H56" s="177">
        <v>2</v>
      </c>
      <c r="I56" s="177" t="s">
        <v>341</v>
      </c>
      <c r="J56" s="270"/>
      <c r="K56" s="177" t="s">
        <v>431</v>
      </c>
      <c r="L56" s="177"/>
      <c r="M56" s="177"/>
      <c r="N56" s="177"/>
      <c r="O56" s="177" t="s">
        <v>578</v>
      </c>
    </row>
    <row r="57" spans="1:15" hidden="1" x14ac:dyDescent="0.25">
      <c r="A57" s="177" t="s">
        <v>868</v>
      </c>
      <c r="B57" s="178" t="s">
        <v>64</v>
      </c>
      <c r="C57" s="178" t="s">
        <v>62</v>
      </c>
      <c r="D57" s="178" t="s">
        <v>341</v>
      </c>
      <c r="E57" s="178" t="s">
        <v>379</v>
      </c>
      <c r="F57" s="179" t="s">
        <v>217</v>
      </c>
      <c r="G57" s="177" t="s">
        <v>12</v>
      </c>
      <c r="H57" s="177">
        <v>0</v>
      </c>
      <c r="I57" s="177" t="s">
        <v>341</v>
      </c>
      <c r="J57" s="201"/>
      <c r="K57" s="177" t="s">
        <v>431</v>
      </c>
      <c r="L57" s="177"/>
      <c r="M57" s="177"/>
      <c r="N57" s="177"/>
      <c r="O57" s="177" t="s">
        <v>579</v>
      </c>
    </row>
    <row r="58" spans="1:15" ht="30" hidden="1" x14ac:dyDescent="0.25">
      <c r="A58" s="177" t="s">
        <v>869</v>
      </c>
      <c r="B58" s="178" t="s">
        <v>64</v>
      </c>
      <c r="C58" s="178" t="s">
        <v>63</v>
      </c>
      <c r="D58" s="178" t="s">
        <v>19</v>
      </c>
      <c r="E58" s="178" t="s">
        <v>234</v>
      </c>
      <c r="F58" s="179" t="s">
        <v>217</v>
      </c>
      <c r="G58" s="177" t="s">
        <v>35</v>
      </c>
      <c r="H58" s="177">
        <f>1/5</f>
        <v>0.2</v>
      </c>
      <c r="I58" s="177" t="s">
        <v>19</v>
      </c>
      <c r="J58" s="201"/>
      <c r="K58" s="177" t="s">
        <v>431</v>
      </c>
      <c r="L58" s="177"/>
      <c r="M58" s="177"/>
      <c r="N58" s="177"/>
      <c r="O58" s="177" t="s">
        <v>574</v>
      </c>
    </row>
    <row r="59" spans="1:15" ht="15.95" hidden="1" customHeight="1" x14ac:dyDescent="0.25">
      <c r="A59" s="177" t="s">
        <v>711</v>
      </c>
      <c r="B59" s="178" t="s">
        <v>65</v>
      </c>
      <c r="C59" s="178" t="s">
        <v>66</v>
      </c>
      <c r="D59" s="178" t="s">
        <v>21</v>
      </c>
      <c r="E59" s="178" t="s">
        <v>235</v>
      </c>
      <c r="F59" s="179" t="s">
        <v>217</v>
      </c>
      <c r="G59" s="177" t="s">
        <v>114</v>
      </c>
      <c r="H59" s="177">
        <f>1/25</f>
        <v>0.04</v>
      </c>
      <c r="I59" s="177" t="s">
        <v>477</v>
      </c>
      <c r="J59" s="201"/>
      <c r="K59" s="177" t="s">
        <v>432</v>
      </c>
      <c r="L59" s="177"/>
      <c r="M59" s="177"/>
      <c r="N59" s="177"/>
      <c r="O59" s="177" t="s">
        <v>580</v>
      </c>
    </row>
    <row r="60" spans="1:15" ht="15.95" hidden="1" customHeight="1" x14ac:dyDescent="0.25">
      <c r="A60" s="177" t="s">
        <v>716</v>
      </c>
      <c r="B60" s="178" t="s">
        <v>65</v>
      </c>
      <c r="C60" s="178" t="s">
        <v>66</v>
      </c>
      <c r="D60" s="178" t="s">
        <v>687</v>
      </c>
      <c r="E60" s="178" t="s">
        <v>239</v>
      </c>
      <c r="F60" s="179" t="s">
        <v>217</v>
      </c>
      <c r="G60" s="177" t="s">
        <v>129</v>
      </c>
      <c r="H60" s="177">
        <f>1/35</f>
        <v>2.8571428571428571E-2</v>
      </c>
      <c r="I60" s="177" t="s">
        <v>478</v>
      </c>
      <c r="J60" s="201"/>
      <c r="K60" s="177" t="s">
        <v>432</v>
      </c>
      <c r="L60" s="177"/>
      <c r="M60" s="177"/>
      <c r="N60" s="177"/>
      <c r="O60" s="177" t="s">
        <v>581</v>
      </c>
    </row>
    <row r="61" spans="1:15" ht="15.95" hidden="1" customHeight="1" x14ac:dyDescent="0.25">
      <c r="A61" s="177" t="s">
        <v>717</v>
      </c>
      <c r="B61" s="178" t="s">
        <v>65</v>
      </c>
      <c r="C61" s="178" t="s">
        <v>66</v>
      </c>
      <c r="D61" s="178" t="s">
        <v>688</v>
      </c>
      <c r="E61" s="178" t="s">
        <v>239</v>
      </c>
      <c r="F61" s="179" t="s">
        <v>217</v>
      </c>
      <c r="G61" s="177" t="s">
        <v>202</v>
      </c>
      <c r="H61" s="177">
        <v>0</v>
      </c>
      <c r="I61" s="177" t="s">
        <v>479</v>
      </c>
      <c r="J61" s="201"/>
      <c r="K61" s="177" t="s">
        <v>432</v>
      </c>
      <c r="L61" s="177"/>
      <c r="M61" s="177"/>
      <c r="N61" s="177"/>
      <c r="O61" s="177" t="s">
        <v>582</v>
      </c>
    </row>
    <row r="62" spans="1:15" ht="15.95" hidden="1" customHeight="1" x14ac:dyDescent="0.25">
      <c r="A62" s="177" t="s">
        <v>718</v>
      </c>
      <c r="B62" s="178" t="s">
        <v>65</v>
      </c>
      <c r="C62" s="178" t="s">
        <v>66</v>
      </c>
      <c r="D62" s="178" t="s">
        <v>82</v>
      </c>
      <c r="E62" s="178" t="s">
        <v>342</v>
      </c>
      <c r="F62" s="179" t="s">
        <v>217</v>
      </c>
      <c r="G62" s="177" t="s">
        <v>114</v>
      </c>
      <c r="H62" s="177">
        <f>1/25</f>
        <v>0.04</v>
      </c>
      <c r="I62" s="177" t="s">
        <v>82</v>
      </c>
      <c r="J62" s="201"/>
      <c r="K62" s="177" t="s">
        <v>432</v>
      </c>
      <c r="L62" s="177"/>
      <c r="M62" s="177"/>
      <c r="N62" s="177"/>
      <c r="O62" s="177" t="s">
        <v>583</v>
      </c>
    </row>
    <row r="63" spans="1:15" x14ac:dyDescent="0.25">
      <c r="A63" s="177" t="s">
        <v>719</v>
      </c>
      <c r="B63" s="178" t="s">
        <v>65</v>
      </c>
      <c r="C63" s="178" t="s">
        <v>66</v>
      </c>
      <c r="D63" s="178" t="s">
        <v>337</v>
      </c>
      <c r="E63" s="178" t="s">
        <v>236</v>
      </c>
      <c r="F63" s="179" t="s">
        <v>204</v>
      </c>
      <c r="G63" s="177" t="s">
        <v>8</v>
      </c>
      <c r="H63" s="177">
        <v>1</v>
      </c>
      <c r="I63" s="177" t="s">
        <v>684</v>
      </c>
      <c r="J63" s="270"/>
      <c r="K63" s="177" t="s">
        <v>432</v>
      </c>
      <c r="L63" s="177"/>
      <c r="M63" s="177"/>
      <c r="N63" s="177"/>
      <c r="O63" s="177" t="s">
        <v>584</v>
      </c>
    </row>
    <row r="64" spans="1:15" x14ac:dyDescent="0.25">
      <c r="A64" s="177" t="s">
        <v>381</v>
      </c>
      <c r="B64" s="178" t="s">
        <v>65</v>
      </c>
      <c r="C64" s="178" t="s">
        <v>66</v>
      </c>
      <c r="D64" s="178" t="s">
        <v>337</v>
      </c>
      <c r="E64" s="178" t="s">
        <v>237</v>
      </c>
      <c r="F64" s="179" t="s">
        <v>204</v>
      </c>
      <c r="G64" s="177" t="s">
        <v>12</v>
      </c>
      <c r="H64" s="177">
        <v>4</v>
      </c>
      <c r="I64" s="177" t="s">
        <v>684</v>
      </c>
      <c r="J64" s="270"/>
      <c r="K64" s="177" t="s">
        <v>432</v>
      </c>
      <c r="L64" s="177"/>
      <c r="M64" s="177"/>
      <c r="N64" s="177"/>
      <c r="O64" s="201" t="s">
        <v>584</v>
      </c>
    </row>
    <row r="65" spans="1:15" x14ac:dyDescent="0.25">
      <c r="A65" s="177" t="s">
        <v>382</v>
      </c>
      <c r="B65" s="178" t="s">
        <v>65</v>
      </c>
      <c r="C65" s="178" t="s">
        <v>66</v>
      </c>
      <c r="D65" s="178" t="s">
        <v>337</v>
      </c>
      <c r="E65" s="178" t="s">
        <v>238</v>
      </c>
      <c r="F65" s="179" t="s">
        <v>204</v>
      </c>
      <c r="G65" s="177" t="s">
        <v>12</v>
      </c>
      <c r="H65" s="177">
        <v>1</v>
      </c>
      <c r="I65" s="177" t="s">
        <v>685</v>
      </c>
      <c r="J65" s="270"/>
      <c r="K65" s="177" t="s">
        <v>432</v>
      </c>
      <c r="L65" s="177"/>
      <c r="M65" s="177"/>
      <c r="N65" s="177"/>
      <c r="O65" s="201" t="s">
        <v>789</v>
      </c>
    </row>
    <row r="66" spans="1:15" ht="15.95" customHeight="1" x14ac:dyDescent="0.25">
      <c r="A66" s="177" t="s">
        <v>383</v>
      </c>
      <c r="B66" s="178" t="s">
        <v>65</v>
      </c>
      <c r="C66" s="178" t="s">
        <v>66</v>
      </c>
      <c r="D66" s="178" t="s">
        <v>23</v>
      </c>
      <c r="E66" s="178" t="s">
        <v>240</v>
      </c>
      <c r="F66" s="179" t="s">
        <v>204</v>
      </c>
      <c r="G66" s="177" t="s">
        <v>13</v>
      </c>
      <c r="H66" s="177">
        <v>2</v>
      </c>
      <c r="I66" s="177" t="s">
        <v>480</v>
      </c>
      <c r="J66" s="270"/>
      <c r="K66" s="177" t="s">
        <v>432</v>
      </c>
      <c r="L66" s="177"/>
      <c r="M66" s="177"/>
      <c r="N66" s="177"/>
      <c r="O66" s="177" t="s">
        <v>585</v>
      </c>
    </row>
    <row r="67" spans="1:15" x14ac:dyDescent="0.25">
      <c r="A67" s="177" t="s">
        <v>384</v>
      </c>
      <c r="B67" s="178" t="s">
        <v>65</v>
      </c>
      <c r="C67" s="178" t="s">
        <v>66</v>
      </c>
      <c r="D67" s="178" t="s">
        <v>82</v>
      </c>
      <c r="E67" s="178" t="s">
        <v>371</v>
      </c>
      <c r="F67" s="179" t="s">
        <v>204</v>
      </c>
      <c r="G67" s="177" t="s">
        <v>13</v>
      </c>
      <c r="H67" s="177">
        <v>2</v>
      </c>
      <c r="I67" s="177" t="s">
        <v>82</v>
      </c>
      <c r="J67" s="270"/>
      <c r="K67" s="177" t="s">
        <v>432</v>
      </c>
      <c r="L67" s="177"/>
      <c r="M67" s="177"/>
      <c r="N67" s="177"/>
      <c r="O67" s="177" t="s">
        <v>790</v>
      </c>
    </row>
    <row r="68" spans="1:15" ht="15.95" hidden="1" customHeight="1" x14ac:dyDescent="0.25">
      <c r="A68" s="177" t="s">
        <v>702</v>
      </c>
      <c r="B68" s="178" t="s">
        <v>65</v>
      </c>
      <c r="C68" s="178" t="s">
        <v>67</v>
      </c>
      <c r="D68" s="178" t="s">
        <v>689</v>
      </c>
      <c r="E68" s="178" t="s">
        <v>241</v>
      </c>
      <c r="F68" s="179" t="s">
        <v>217</v>
      </c>
      <c r="G68" s="177" t="s">
        <v>114</v>
      </c>
      <c r="H68" s="177">
        <f>1/25</f>
        <v>0.04</v>
      </c>
      <c r="I68" s="178" t="s">
        <v>365</v>
      </c>
      <c r="J68" s="201"/>
      <c r="K68" s="177" t="s">
        <v>432</v>
      </c>
      <c r="L68" s="177"/>
      <c r="M68" s="177"/>
      <c r="N68" s="177"/>
      <c r="O68" s="177" t="s">
        <v>586</v>
      </c>
    </row>
    <row r="69" spans="1:15" ht="15.95" hidden="1" customHeight="1" x14ac:dyDescent="0.25">
      <c r="A69" s="177" t="s">
        <v>707</v>
      </c>
      <c r="B69" s="178" t="s">
        <v>65</v>
      </c>
      <c r="C69" s="178" t="s">
        <v>67</v>
      </c>
      <c r="D69" s="178" t="s">
        <v>690</v>
      </c>
      <c r="E69" s="178" t="s">
        <v>241</v>
      </c>
      <c r="F69" s="179" t="s">
        <v>217</v>
      </c>
      <c r="G69" s="177" t="s">
        <v>202</v>
      </c>
      <c r="H69" s="177">
        <f>1/40</f>
        <v>2.5000000000000001E-2</v>
      </c>
      <c r="I69" s="178" t="s">
        <v>24</v>
      </c>
      <c r="J69" s="201"/>
      <c r="K69" s="177" t="s">
        <v>432</v>
      </c>
      <c r="L69" s="177"/>
      <c r="M69" s="177"/>
      <c r="N69" s="177"/>
      <c r="O69" s="177" t="s">
        <v>587</v>
      </c>
    </row>
    <row r="70" spans="1:15" ht="15.95" hidden="1" customHeight="1" x14ac:dyDescent="0.25">
      <c r="A70" s="177" t="s">
        <v>708</v>
      </c>
      <c r="B70" s="178" t="s">
        <v>65</v>
      </c>
      <c r="C70" s="178" t="s">
        <v>67</v>
      </c>
      <c r="D70" s="178" t="s">
        <v>691</v>
      </c>
      <c r="E70" s="178" t="s">
        <v>241</v>
      </c>
      <c r="F70" s="179" t="s">
        <v>217</v>
      </c>
      <c r="G70" s="177" t="s">
        <v>202</v>
      </c>
      <c r="H70" s="177">
        <v>0</v>
      </c>
      <c r="I70" s="178" t="s">
        <v>366</v>
      </c>
      <c r="J70" s="201"/>
      <c r="K70" s="177" t="s">
        <v>432</v>
      </c>
      <c r="L70" s="177"/>
      <c r="M70" s="177"/>
      <c r="N70" s="177"/>
      <c r="O70" s="177" t="s">
        <v>588</v>
      </c>
    </row>
    <row r="71" spans="1:15" ht="15.95" hidden="1" customHeight="1" x14ac:dyDescent="0.25">
      <c r="A71" s="177" t="s">
        <v>709</v>
      </c>
      <c r="B71" s="178" t="s">
        <v>65</v>
      </c>
      <c r="C71" s="178" t="s">
        <v>67</v>
      </c>
      <c r="D71" s="178" t="s">
        <v>692</v>
      </c>
      <c r="E71" s="178" t="s">
        <v>241</v>
      </c>
      <c r="F71" s="179" t="s">
        <v>217</v>
      </c>
      <c r="G71" s="177" t="s">
        <v>202</v>
      </c>
      <c r="H71" s="177">
        <f>1/40</f>
        <v>2.5000000000000001E-2</v>
      </c>
      <c r="I71" s="178" t="s">
        <v>25</v>
      </c>
      <c r="J71" s="201"/>
      <c r="K71" s="177" t="s">
        <v>432</v>
      </c>
      <c r="L71" s="177"/>
      <c r="M71" s="177"/>
      <c r="N71" s="177"/>
      <c r="O71" s="177" t="s">
        <v>589</v>
      </c>
    </row>
    <row r="72" spans="1:15" ht="15.95" hidden="1" customHeight="1" x14ac:dyDescent="0.25">
      <c r="A72" s="177" t="s">
        <v>710</v>
      </c>
      <c r="B72" s="178" t="s">
        <v>65</v>
      </c>
      <c r="C72" s="178" t="s">
        <v>67</v>
      </c>
      <c r="D72" s="178" t="s">
        <v>693</v>
      </c>
      <c r="E72" s="178" t="s">
        <v>241</v>
      </c>
      <c r="F72" s="179" t="s">
        <v>217</v>
      </c>
      <c r="G72" s="177" t="s">
        <v>202</v>
      </c>
      <c r="H72" s="177">
        <f>1/40</f>
        <v>2.5000000000000001E-2</v>
      </c>
      <c r="I72" s="178" t="s">
        <v>83</v>
      </c>
      <c r="J72" s="201"/>
      <c r="K72" s="177" t="s">
        <v>432</v>
      </c>
      <c r="L72" s="177"/>
      <c r="M72" s="177"/>
      <c r="N72" s="177"/>
      <c r="O72" s="177" t="s">
        <v>590</v>
      </c>
    </row>
    <row r="73" spans="1:15" ht="30" hidden="1" x14ac:dyDescent="0.25">
      <c r="A73" s="177" t="s">
        <v>385</v>
      </c>
      <c r="B73" s="178" t="s">
        <v>65</v>
      </c>
      <c r="C73" s="178" t="s">
        <v>67</v>
      </c>
      <c r="D73" s="178" t="s">
        <v>343</v>
      </c>
      <c r="E73" s="178" t="s">
        <v>245</v>
      </c>
      <c r="F73" s="179" t="s">
        <v>217</v>
      </c>
      <c r="G73" s="177" t="s">
        <v>132</v>
      </c>
      <c r="H73" s="177">
        <v>0.1</v>
      </c>
      <c r="I73" s="178" t="s">
        <v>343</v>
      </c>
      <c r="J73" s="201"/>
      <c r="K73" s="177" t="s">
        <v>432</v>
      </c>
      <c r="L73" s="177"/>
      <c r="M73" s="177"/>
      <c r="N73" s="177"/>
      <c r="O73" s="177" t="s">
        <v>591</v>
      </c>
    </row>
    <row r="74" spans="1:15" ht="30" x14ac:dyDescent="0.25">
      <c r="A74" s="177" t="s">
        <v>386</v>
      </c>
      <c r="B74" s="178" t="s">
        <v>65</v>
      </c>
      <c r="C74" s="178" t="s">
        <v>67</v>
      </c>
      <c r="D74" s="178" t="s">
        <v>337</v>
      </c>
      <c r="E74" s="178" t="s">
        <v>242</v>
      </c>
      <c r="F74" s="179" t="s">
        <v>204</v>
      </c>
      <c r="G74" s="177" t="s">
        <v>8</v>
      </c>
      <c r="H74" s="177">
        <v>1</v>
      </c>
      <c r="I74" s="177" t="s">
        <v>686</v>
      </c>
      <c r="J74" s="270"/>
      <c r="K74" s="177" t="s">
        <v>432</v>
      </c>
      <c r="L74" s="177"/>
      <c r="M74" s="177"/>
      <c r="N74" s="177"/>
      <c r="O74" s="177" t="s">
        <v>791</v>
      </c>
    </row>
    <row r="75" spans="1:15" x14ac:dyDescent="0.25">
      <c r="A75" s="177" t="s">
        <v>387</v>
      </c>
      <c r="B75" s="178" t="s">
        <v>65</v>
      </c>
      <c r="C75" s="178" t="s">
        <v>67</v>
      </c>
      <c r="D75" s="178" t="s">
        <v>337</v>
      </c>
      <c r="E75" s="178" t="s">
        <v>243</v>
      </c>
      <c r="F75" s="179" t="s">
        <v>204</v>
      </c>
      <c r="G75" s="177" t="s">
        <v>12</v>
      </c>
      <c r="H75" s="177">
        <v>1</v>
      </c>
      <c r="I75" s="177" t="s">
        <v>694</v>
      </c>
      <c r="J75" s="270"/>
      <c r="K75" s="177" t="s">
        <v>432</v>
      </c>
      <c r="L75" s="177"/>
      <c r="M75" s="177"/>
      <c r="N75" s="177"/>
      <c r="O75" s="201" t="s">
        <v>791</v>
      </c>
    </row>
    <row r="76" spans="1:15" x14ac:dyDescent="0.25">
      <c r="A76" s="177" t="s">
        <v>388</v>
      </c>
      <c r="B76" s="178" t="s">
        <v>65</v>
      </c>
      <c r="C76" s="178" t="s">
        <v>67</v>
      </c>
      <c r="D76" s="178" t="s">
        <v>337</v>
      </c>
      <c r="E76" s="178" t="s">
        <v>244</v>
      </c>
      <c r="F76" s="179" t="s">
        <v>204</v>
      </c>
      <c r="G76" s="177" t="s">
        <v>12</v>
      </c>
      <c r="H76" s="177">
        <v>1</v>
      </c>
      <c r="I76" s="177" t="s">
        <v>695</v>
      </c>
      <c r="J76" s="270"/>
      <c r="K76" s="177" t="s">
        <v>432</v>
      </c>
      <c r="L76" s="177"/>
      <c r="M76" s="177"/>
      <c r="N76" s="177"/>
      <c r="O76" s="177" t="s">
        <v>792</v>
      </c>
    </row>
    <row r="77" spans="1:15" ht="15.95" hidden="1" customHeight="1" x14ac:dyDescent="0.25">
      <c r="A77" s="177" t="s">
        <v>774</v>
      </c>
      <c r="B77" s="178" t="s">
        <v>65</v>
      </c>
      <c r="C77" s="178" t="s">
        <v>68</v>
      </c>
      <c r="D77" s="178" t="s">
        <v>84</v>
      </c>
      <c r="E77" s="178" t="s">
        <v>246</v>
      </c>
      <c r="F77" s="179" t="s">
        <v>217</v>
      </c>
      <c r="G77" s="177" t="s">
        <v>202</v>
      </c>
      <c r="H77" s="177">
        <f>1/40</f>
        <v>2.5000000000000001E-2</v>
      </c>
      <c r="I77" s="177" t="s">
        <v>84</v>
      </c>
      <c r="J77" s="201"/>
      <c r="K77" s="177" t="s">
        <v>431</v>
      </c>
      <c r="L77" s="177"/>
      <c r="M77" s="177"/>
      <c r="N77" s="177"/>
      <c r="O77" s="177" t="s">
        <v>592</v>
      </c>
    </row>
    <row r="78" spans="1:15" x14ac:dyDescent="0.25">
      <c r="A78" s="177" t="s">
        <v>765</v>
      </c>
      <c r="B78" s="178" t="s">
        <v>65</v>
      </c>
      <c r="C78" s="178" t="s">
        <v>68</v>
      </c>
      <c r="D78" s="178" t="s">
        <v>84</v>
      </c>
      <c r="E78" s="178" t="s">
        <v>247</v>
      </c>
      <c r="F78" s="179" t="s">
        <v>204</v>
      </c>
      <c r="G78" s="177" t="s">
        <v>8</v>
      </c>
      <c r="H78" s="177">
        <v>1</v>
      </c>
      <c r="I78" s="177" t="s">
        <v>84</v>
      </c>
      <c r="J78" s="270"/>
      <c r="K78" s="177" t="s">
        <v>431</v>
      </c>
      <c r="L78" s="177"/>
      <c r="M78" s="177"/>
      <c r="N78" s="177"/>
      <c r="O78" s="177" t="s">
        <v>793</v>
      </c>
    </row>
    <row r="79" spans="1:15" x14ac:dyDescent="0.25">
      <c r="A79" s="177" t="s">
        <v>766</v>
      </c>
      <c r="B79" s="178" t="s">
        <v>65</v>
      </c>
      <c r="C79" s="178" t="s">
        <v>68</v>
      </c>
      <c r="D79" s="178" t="s">
        <v>84</v>
      </c>
      <c r="E79" s="178" t="s">
        <v>248</v>
      </c>
      <c r="F79" s="179" t="s">
        <v>204</v>
      </c>
      <c r="G79" s="177" t="s">
        <v>12</v>
      </c>
      <c r="H79" s="177">
        <v>2</v>
      </c>
      <c r="I79" s="177" t="s">
        <v>481</v>
      </c>
      <c r="J79" s="270"/>
      <c r="K79" s="177" t="s">
        <v>431</v>
      </c>
      <c r="L79" s="177"/>
      <c r="M79" s="177"/>
      <c r="N79" s="177"/>
      <c r="O79" s="177" t="s">
        <v>593</v>
      </c>
    </row>
    <row r="80" spans="1:15" x14ac:dyDescent="0.25">
      <c r="A80" s="177" t="s">
        <v>767</v>
      </c>
      <c r="B80" s="178" t="s">
        <v>65</v>
      </c>
      <c r="C80" s="178" t="s">
        <v>68</v>
      </c>
      <c r="D80" s="178" t="s">
        <v>84</v>
      </c>
      <c r="E80" s="178" t="s">
        <v>249</v>
      </c>
      <c r="F80" s="179" t="s">
        <v>204</v>
      </c>
      <c r="G80" s="177" t="s">
        <v>8</v>
      </c>
      <c r="H80" s="177">
        <v>1</v>
      </c>
      <c r="I80" s="177" t="s">
        <v>84</v>
      </c>
      <c r="J80" s="270"/>
      <c r="K80" s="177" t="s">
        <v>431</v>
      </c>
      <c r="L80" s="177"/>
      <c r="M80" s="177"/>
      <c r="N80" s="177"/>
      <c r="O80" s="177" t="s">
        <v>793</v>
      </c>
    </row>
    <row r="81" spans="1:15" ht="15.95" hidden="1" customHeight="1" x14ac:dyDescent="0.25">
      <c r="A81" s="177" t="s">
        <v>778</v>
      </c>
      <c r="B81" s="178" t="s">
        <v>65</v>
      </c>
      <c r="C81" s="178" t="s">
        <v>69</v>
      </c>
      <c r="D81" s="178" t="s">
        <v>26</v>
      </c>
      <c r="E81" s="178" t="s">
        <v>250</v>
      </c>
      <c r="F81" s="179" t="s">
        <v>217</v>
      </c>
      <c r="G81" s="177" t="s">
        <v>202</v>
      </c>
      <c r="H81" s="177">
        <f>1/40</f>
        <v>2.5000000000000001E-2</v>
      </c>
      <c r="I81" s="177" t="s">
        <v>482</v>
      </c>
      <c r="J81" s="201"/>
      <c r="K81" s="177" t="s">
        <v>431</v>
      </c>
      <c r="L81" s="177"/>
      <c r="M81" s="177"/>
      <c r="N81" s="177"/>
      <c r="O81" s="177" t="s">
        <v>599</v>
      </c>
    </row>
    <row r="82" spans="1:15" x14ac:dyDescent="0.25">
      <c r="A82" s="177" t="s">
        <v>768</v>
      </c>
      <c r="B82" s="178" t="s">
        <v>65</v>
      </c>
      <c r="C82" s="178" t="s">
        <v>69</v>
      </c>
      <c r="D82" s="178" t="s">
        <v>26</v>
      </c>
      <c r="E82" s="178" t="s">
        <v>251</v>
      </c>
      <c r="F82" s="179" t="s">
        <v>204</v>
      </c>
      <c r="G82" s="177" t="s">
        <v>8</v>
      </c>
      <c r="H82" s="177">
        <v>1</v>
      </c>
      <c r="I82" s="177" t="s">
        <v>482</v>
      </c>
      <c r="J82" s="270"/>
      <c r="K82" s="177" t="s">
        <v>431</v>
      </c>
      <c r="L82" s="177"/>
      <c r="M82" s="177"/>
      <c r="N82" s="177"/>
      <c r="O82" s="177" t="s">
        <v>794</v>
      </c>
    </row>
    <row r="83" spans="1:15" x14ac:dyDescent="0.25">
      <c r="A83" s="201" t="s">
        <v>770</v>
      </c>
      <c r="B83" s="202" t="s">
        <v>65</v>
      </c>
      <c r="C83" s="202" t="s">
        <v>69</v>
      </c>
      <c r="D83" s="202" t="s">
        <v>26</v>
      </c>
      <c r="E83" s="202" t="s">
        <v>771</v>
      </c>
      <c r="F83" s="179" t="s">
        <v>204</v>
      </c>
      <c r="G83" s="201" t="s">
        <v>8</v>
      </c>
      <c r="H83" s="201">
        <v>1</v>
      </c>
      <c r="I83" s="201" t="s">
        <v>772</v>
      </c>
      <c r="J83" s="270"/>
      <c r="K83" s="201" t="s">
        <v>431</v>
      </c>
      <c r="L83" s="201"/>
      <c r="M83" s="201"/>
      <c r="N83" s="201"/>
      <c r="O83" s="201" t="s">
        <v>773</v>
      </c>
    </row>
    <row r="84" spans="1:15" ht="15.95" customHeight="1" x14ac:dyDescent="0.25">
      <c r="A84" s="177" t="s">
        <v>769</v>
      </c>
      <c r="B84" s="178" t="s">
        <v>65</v>
      </c>
      <c r="C84" s="178" t="s">
        <v>116</v>
      </c>
      <c r="D84" s="178" t="s">
        <v>86</v>
      </c>
      <c r="E84" s="178" t="s">
        <v>253</v>
      </c>
      <c r="F84" s="179" t="s">
        <v>204</v>
      </c>
      <c r="G84" s="177" t="s">
        <v>8</v>
      </c>
      <c r="H84" s="177">
        <v>1</v>
      </c>
      <c r="I84" s="178" t="s">
        <v>86</v>
      </c>
      <c r="J84" s="270"/>
      <c r="K84" s="177" t="s">
        <v>431</v>
      </c>
      <c r="L84" s="177"/>
      <c r="M84" s="177"/>
      <c r="N84" s="177"/>
      <c r="O84" s="177" t="s">
        <v>594</v>
      </c>
    </row>
    <row r="85" spans="1:15" ht="15.95" hidden="1" customHeight="1" x14ac:dyDescent="0.25">
      <c r="A85" s="177" t="s">
        <v>782</v>
      </c>
      <c r="B85" s="178" t="s">
        <v>65</v>
      </c>
      <c r="C85" s="178" t="s">
        <v>116</v>
      </c>
      <c r="D85" s="178" t="s">
        <v>27</v>
      </c>
      <c r="E85" s="178" t="s">
        <v>252</v>
      </c>
      <c r="F85" s="179" t="s">
        <v>217</v>
      </c>
      <c r="G85" s="177" t="s">
        <v>132</v>
      </c>
      <c r="H85" s="177">
        <v>0.1</v>
      </c>
      <c r="I85" s="177" t="s">
        <v>484</v>
      </c>
      <c r="J85" s="201"/>
      <c r="K85" s="177" t="s">
        <v>433</v>
      </c>
      <c r="L85" s="177"/>
      <c r="M85" s="177"/>
      <c r="N85" s="177"/>
      <c r="O85" s="177" t="s">
        <v>596</v>
      </c>
    </row>
    <row r="86" spans="1:15" ht="30" hidden="1" x14ac:dyDescent="0.25">
      <c r="A86" s="177" t="s">
        <v>787</v>
      </c>
      <c r="B86" s="178" t="s">
        <v>65</v>
      </c>
      <c r="C86" s="178" t="s">
        <v>85</v>
      </c>
      <c r="D86" s="178" t="s">
        <v>19</v>
      </c>
      <c r="E86" s="178" t="s">
        <v>254</v>
      </c>
      <c r="F86" s="179" t="s">
        <v>217</v>
      </c>
      <c r="G86" s="177" t="s">
        <v>35</v>
      </c>
      <c r="H86" s="177">
        <f>1/5</f>
        <v>0.2</v>
      </c>
      <c r="I86" s="177" t="s">
        <v>19</v>
      </c>
      <c r="J86" s="201"/>
      <c r="K86" s="177" t="s">
        <v>431</v>
      </c>
      <c r="L86" s="177"/>
      <c r="M86" s="177"/>
      <c r="N86" s="177"/>
      <c r="O86" s="177" t="s">
        <v>574</v>
      </c>
    </row>
    <row r="87" spans="1:15" ht="15.95" hidden="1" customHeight="1" x14ac:dyDescent="0.25">
      <c r="A87" s="177" t="s">
        <v>788</v>
      </c>
      <c r="B87" s="178" t="s">
        <v>65</v>
      </c>
      <c r="C87" s="178" t="s">
        <v>85</v>
      </c>
      <c r="D87" s="178" t="s">
        <v>27</v>
      </c>
      <c r="E87" s="178" t="s">
        <v>363</v>
      </c>
      <c r="F87" s="179" t="s">
        <v>217</v>
      </c>
      <c r="G87" s="177" t="s">
        <v>132</v>
      </c>
      <c r="H87" s="177">
        <v>0.1</v>
      </c>
      <c r="I87" s="177" t="s">
        <v>485</v>
      </c>
      <c r="J87" s="201"/>
      <c r="K87" s="177" t="s">
        <v>433</v>
      </c>
      <c r="L87" s="177"/>
      <c r="M87" s="177"/>
      <c r="N87" s="177"/>
      <c r="O87" s="177" t="s">
        <v>595</v>
      </c>
    </row>
    <row r="88" spans="1:15" ht="15.95" hidden="1" customHeight="1" x14ac:dyDescent="0.25">
      <c r="A88" s="177" t="s">
        <v>861</v>
      </c>
      <c r="B88" s="178" t="s">
        <v>28</v>
      </c>
      <c r="C88" s="178" t="s">
        <v>70</v>
      </c>
      <c r="D88" s="178" t="s">
        <v>88</v>
      </c>
      <c r="E88" s="178" t="s">
        <v>255</v>
      </c>
      <c r="F88" s="179" t="s">
        <v>217</v>
      </c>
      <c r="G88" s="177" t="s">
        <v>256</v>
      </c>
      <c r="H88" s="177">
        <f>1/40</f>
        <v>2.5000000000000001E-2</v>
      </c>
      <c r="I88" s="177" t="s">
        <v>486</v>
      </c>
      <c r="J88" s="203"/>
      <c r="K88" s="177" t="s">
        <v>432</v>
      </c>
      <c r="L88" s="177"/>
      <c r="M88" s="177"/>
      <c r="N88" s="177"/>
      <c r="O88" s="177" t="s">
        <v>597</v>
      </c>
    </row>
    <row r="89" spans="1:15" x14ac:dyDescent="0.25">
      <c r="A89" s="177" t="s">
        <v>830</v>
      </c>
      <c r="B89" s="178" t="s">
        <v>28</v>
      </c>
      <c r="C89" s="178" t="s">
        <v>70</v>
      </c>
      <c r="D89" s="178" t="s">
        <v>88</v>
      </c>
      <c r="E89" s="178" t="s">
        <v>261</v>
      </c>
      <c r="F89" s="179" t="s">
        <v>204</v>
      </c>
      <c r="G89" s="177" t="s">
        <v>13</v>
      </c>
      <c r="H89" s="177">
        <v>2</v>
      </c>
      <c r="I89" s="177" t="s">
        <v>486</v>
      </c>
      <c r="J89" s="270"/>
      <c r="K89" s="177" t="s">
        <v>432</v>
      </c>
      <c r="L89" s="177"/>
      <c r="M89" s="177"/>
      <c r="N89" s="177"/>
      <c r="O89" s="177" t="s">
        <v>1004</v>
      </c>
    </row>
    <row r="90" spans="1:15" x14ac:dyDescent="0.25">
      <c r="A90" s="177" t="s">
        <v>831</v>
      </c>
      <c r="B90" s="178" t="s">
        <v>28</v>
      </c>
      <c r="C90" s="178" t="s">
        <v>70</v>
      </c>
      <c r="D90" s="178" t="s">
        <v>88</v>
      </c>
      <c r="E90" s="178" t="s">
        <v>598</v>
      </c>
      <c r="F90" s="179" t="s">
        <v>204</v>
      </c>
      <c r="G90" s="177" t="s">
        <v>12</v>
      </c>
      <c r="H90" s="177">
        <v>1</v>
      </c>
      <c r="I90" s="177" t="s">
        <v>487</v>
      </c>
      <c r="J90" s="270"/>
      <c r="K90" s="177" t="s">
        <v>431</v>
      </c>
      <c r="L90" s="177"/>
      <c r="M90" s="177"/>
      <c r="N90" s="177"/>
      <c r="O90" s="177" t="s">
        <v>696</v>
      </c>
    </row>
    <row r="91" spans="1:15" x14ac:dyDescent="0.25">
      <c r="A91" s="177" t="s">
        <v>832</v>
      </c>
      <c r="B91" s="178" t="s">
        <v>28</v>
      </c>
      <c r="C91" s="178" t="s">
        <v>71</v>
      </c>
      <c r="D91" s="178" t="s">
        <v>89</v>
      </c>
      <c r="E91" s="178" t="s">
        <v>266</v>
      </c>
      <c r="F91" s="179" t="s">
        <v>204</v>
      </c>
      <c r="G91" s="177" t="s">
        <v>12</v>
      </c>
      <c r="H91" s="177">
        <v>3</v>
      </c>
      <c r="I91" s="177" t="s">
        <v>534</v>
      </c>
      <c r="J91" s="270"/>
      <c r="K91" s="177" t="s">
        <v>431</v>
      </c>
      <c r="L91" s="177"/>
      <c r="M91" s="177"/>
      <c r="N91" s="177"/>
      <c r="O91" s="177" t="s">
        <v>697</v>
      </c>
    </row>
    <row r="92" spans="1:15" ht="15.95" customHeight="1" x14ac:dyDescent="0.25">
      <c r="A92" s="177" t="s">
        <v>833</v>
      </c>
      <c r="B92" s="178" t="s">
        <v>28</v>
      </c>
      <c r="C92" s="178" t="s">
        <v>72</v>
      </c>
      <c r="D92" s="178" t="s">
        <v>90</v>
      </c>
      <c r="E92" s="178" t="s">
        <v>263</v>
      </c>
      <c r="F92" s="179" t="s">
        <v>204</v>
      </c>
      <c r="G92" s="177" t="s">
        <v>12</v>
      </c>
      <c r="H92" s="177">
        <v>0</v>
      </c>
      <c r="I92" s="177" t="s">
        <v>488</v>
      </c>
      <c r="J92" s="270"/>
      <c r="K92" s="177" t="s">
        <v>431</v>
      </c>
      <c r="L92" s="177"/>
      <c r="M92" s="177"/>
      <c r="N92" s="177"/>
      <c r="O92" s="177" t="s">
        <v>603</v>
      </c>
    </row>
    <row r="93" spans="1:15" ht="15.95" customHeight="1" x14ac:dyDescent="0.25">
      <c r="A93" s="177" t="s">
        <v>834</v>
      </c>
      <c r="B93" s="178" t="s">
        <v>28</v>
      </c>
      <c r="C93" s="178" t="s">
        <v>73</v>
      </c>
      <c r="D93" s="178" t="s">
        <v>26</v>
      </c>
      <c r="E93" s="178" t="s">
        <v>264</v>
      </c>
      <c r="F93" s="179" t="s">
        <v>204</v>
      </c>
      <c r="G93" s="177" t="s">
        <v>8</v>
      </c>
      <c r="H93" s="177">
        <v>1</v>
      </c>
      <c r="I93" s="177" t="s">
        <v>483</v>
      </c>
      <c r="J93" s="270"/>
      <c r="K93" s="177" t="s">
        <v>431</v>
      </c>
      <c r="L93" s="177"/>
      <c r="M93" s="177"/>
      <c r="N93" s="177"/>
      <c r="O93" s="177" t="s">
        <v>599</v>
      </c>
    </row>
    <row r="94" spans="1:15" x14ac:dyDescent="0.25">
      <c r="A94" s="177" t="s">
        <v>835</v>
      </c>
      <c r="B94" s="178" t="s">
        <v>28</v>
      </c>
      <c r="C94" s="178" t="s">
        <v>73</v>
      </c>
      <c r="D94" s="178" t="s">
        <v>26</v>
      </c>
      <c r="E94" s="178" t="s">
        <v>265</v>
      </c>
      <c r="F94" s="179" t="s">
        <v>204</v>
      </c>
      <c r="G94" s="177" t="s">
        <v>12</v>
      </c>
      <c r="H94" s="177">
        <v>2</v>
      </c>
      <c r="I94" s="177" t="s">
        <v>681</v>
      </c>
      <c r="J94" s="270"/>
      <c r="K94" s="177" t="s">
        <v>431</v>
      </c>
      <c r="L94" s="177"/>
      <c r="M94" s="177"/>
      <c r="N94" s="177"/>
      <c r="O94" s="177" t="s">
        <v>600</v>
      </c>
    </row>
    <row r="95" spans="1:15" ht="15.95" hidden="1" customHeight="1" x14ac:dyDescent="0.25">
      <c r="A95" s="177" t="s">
        <v>862</v>
      </c>
      <c r="B95" s="178" t="s">
        <v>28</v>
      </c>
      <c r="C95" s="178" t="s">
        <v>93</v>
      </c>
      <c r="D95" s="178" t="s">
        <v>94</v>
      </c>
      <c r="E95" s="178" t="s">
        <v>268</v>
      </c>
      <c r="F95" s="179" t="s">
        <v>217</v>
      </c>
      <c r="G95" s="177" t="s">
        <v>115</v>
      </c>
      <c r="H95" s="177">
        <f>1/7</f>
        <v>0.14285714285714285</v>
      </c>
      <c r="I95" s="177" t="s">
        <v>698</v>
      </c>
      <c r="J95" s="203"/>
      <c r="K95" s="177" t="s">
        <v>432</v>
      </c>
      <c r="L95" s="177"/>
      <c r="M95" s="177"/>
      <c r="N95" s="177"/>
      <c r="O95" s="177" t="s">
        <v>601</v>
      </c>
    </row>
    <row r="96" spans="1:15" ht="15.95" hidden="1" customHeight="1" x14ac:dyDescent="0.25">
      <c r="A96" s="177" t="s">
        <v>863</v>
      </c>
      <c r="B96" s="178" t="s">
        <v>28</v>
      </c>
      <c r="C96" s="178" t="s">
        <v>93</v>
      </c>
      <c r="D96" s="178" t="s">
        <v>128</v>
      </c>
      <c r="E96" s="178" t="s">
        <v>267</v>
      </c>
      <c r="F96" s="179" t="s">
        <v>217</v>
      </c>
      <c r="G96" s="177" t="s">
        <v>132</v>
      </c>
      <c r="H96" s="177">
        <v>0</v>
      </c>
      <c r="I96" s="177" t="s">
        <v>699</v>
      </c>
      <c r="J96" s="203"/>
      <c r="K96" s="177" t="s">
        <v>432</v>
      </c>
      <c r="L96" s="177"/>
      <c r="M96" s="177"/>
      <c r="N96" s="177"/>
      <c r="O96" s="177" t="s">
        <v>602</v>
      </c>
    </row>
    <row r="97" spans="1:15" ht="15.95" hidden="1" customHeight="1" x14ac:dyDescent="0.25">
      <c r="A97" s="177" t="s">
        <v>864</v>
      </c>
      <c r="B97" s="178" t="s">
        <v>28</v>
      </c>
      <c r="C97" s="178" t="s">
        <v>93</v>
      </c>
      <c r="D97" s="178" t="s">
        <v>270</v>
      </c>
      <c r="E97" s="178" t="s">
        <v>700</v>
      </c>
      <c r="F97" s="179" t="s">
        <v>217</v>
      </c>
      <c r="G97" s="177" t="s">
        <v>132</v>
      </c>
      <c r="H97" s="177">
        <f>1/10</f>
        <v>0.1</v>
      </c>
      <c r="I97" s="177" t="s">
        <v>701</v>
      </c>
      <c r="J97" s="203"/>
      <c r="K97" s="177" t="s">
        <v>432</v>
      </c>
      <c r="L97" s="177"/>
      <c r="M97" s="177"/>
      <c r="N97" s="177"/>
      <c r="O97" s="177" t="s">
        <v>604</v>
      </c>
    </row>
    <row r="98" spans="1:15" x14ac:dyDescent="0.25">
      <c r="A98" s="177" t="s">
        <v>836</v>
      </c>
      <c r="B98" s="178" t="s">
        <v>28</v>
      </c>
      <c r="C98" s="178" t="s">
        <v>93</v>
      </c>
      <c r="D98" s="178" t="s">
        <v>130</v>
      </c>
      <c r="E98" s="178" t="s">
        <v>271</v>
      </c>
      <c r="F98" s="179" t="s">
        <v>204</v>
      </c>
      <c r="G98" s="177" t="s">
        <v>12</v>
      </c>
      <c r="H98" s="177">
        <v>3</v>
      </c>
      <c r="I98" s="177" t="s">
        <v>680</v>
      </c>
      <c r="J98" s="270"/>
      <c r="K98" s="177" t="s">
        <v>432</v>
      </c>
      <c r="L98" s="177"/>
      <c r="M98" s="177"/>
      <c r="N98" s="177"/>
      <c r="O98" s="177" t="s">
        <v>605</v>
      </c>
    </row>
    <row r="99" spans="1:15" ht="15.95" customHeight="1" x14ac:dyDescent="0.25">
      <c r="A99" s="177" t="s">
        <v>837</v>
      </c>
      <c r="B99" s="178" t="s">
        <v>28</v>
      </c>
      <c r="C99" s="178" t="s">
        <v>117</v>
      </c>
      <c r="D99" s="178" t="s">
        <v>272</v>
      </c>
      <c r="E99" s="178" t="s">
        <v>273</v>
      </c>
      <c r="F99" s="179" t="s">
        <v>204</v>
      </c>
      <c r="G99" s="177" t="s">
        <v>8</v>
      </c>
      <c r="H99" s="177">
        <v>1</v>
      </c>
      <c r="I99" s="177" t="s">
        <v>489</v>
      </c>
      <c r="J99" s="270"/>
      <c r="K99" s="177" t="s">
        <v>431</v>
      </c>
      <c r="L99" s="177"/>
      <c r="M99" s="177"/>
      <c r="N99" s="177"/>
      <c r="O99" s="177" t="s">
        <v>606</v>
      </c>
    </row>
    <row r="100" spans="1:15" x14ac:dyDescent="0.25">
      <c r="A100" s="177" t="s">
        <v>838</v>
      </c>
      <c r="B100" s="178" t="s">
        <v>28</v>
      </c>
      <c r="C100" s="178" t="s">
        <v>117</v>
      </c>
      <c r="D100" s="178" t="s">
        <v>118</v>
      </c>
      <c r="E100" s="178" t="s">
        <v>274</v>
      </c>
      <c r="F100" s="179" t="s">
        <v>204</v>
      </c>
      <c r="G100" s="177" t="s">
        <v>12</v>
      </c>
      <c r="H100" s="177">
        <v>0</v>
      </c>
      <c r="I100" s="177" t="s">
        <v>489</v>
      </c>
      <c r="J100" s="270"/>
      <c r="K100" s="177" t="s">
        <v>431</v>
      </c>
      <c r="L100" s="177"/>
      <c r="M100" s="177"/>
      <c r="N100" s="177"/>
      <c r="O100" s="177" t="s">
        <v>607</v>
      </c>
    </row>
    <row r="101" spans="1:15" x14ac:dyDescent="0.25">
      <c r="A101" s="177" t="s">
        <v>839</v>
      </c>
      <c r="B101" s="178" t="s">
        <v>28</v>
      </c>
      <c r="C101" s="178" t="s">
        <v>117</v>
      </c>
      <c r="D101" s="178" t="s">
        <v>27</v>
      </c>
      <c r="E101" s="178" t="s">
        <v>275</v>
      </c>
      <c r="F101" s="179" t="s">
        <v>204</v>
      </c>
      <c r="G101" s="177" t="s">
        <v>12</v>
      </c>
      <c r="H101" s="177">
        <v>0</v>
      </c>
      <c r="I101" s="177" t="s">
        <v>489</v>
      </c>
      <c r="J101" s="270"/>
      <c r="K101" s="177" t="s">
        <v>431</v>
      </c>
      <c r="L101" s="177"/>
      <c r="M101" s="177"/>
      <c r="N101" s="177"/>
      <c r="O101" s="177" t="s">
        <v>608</v>
      </c>
    </row>
    <row r="102" spans="1:15" ht="15.95" customHeight="1" x14ac:dyDescent="0.25">
      <c r="A102" s="177" t="s">
        <v>840</v>
      </c>
      <c r="B102" s="178" t="s">
        <v>28</v>
      </c>
      <c r="C102" s="178" t="s">
        <v>95</v>
      </c>
      <c r="D102" s="178" t="s">
        <v>276</v>
      </c>
      <c r="E102" s="178" t="s">
        <v>277</v>
      </c>
      <c r="F102" s="179" t="s">
        <v>204</v>
      </c>
      <c r="G102" s="177" t="s">
        <v>8</v>
      </c>
      <c r="H102" s="177">
        <v>1</v>
      </c>
      <c r="I102" s="177" t="s">
        <v>490</v>
      </c>
      <c r="J102" s="270"/>
      <c r="K102" s="177" t="s">
        <v>433</v>
      </c>
      <c r="L102" s="177"/>
      <c r="M102" s="177"/>
      <c r="N102" s="177"/>
      <c r="O102" s="177" t="s">
        <v>535</v>
      </c>
    </row>
    <row r="103" spans="1:15" x14ac:dyDescent="0.25">
      <c r="A103" s="177" t="s">
        <v>841</v>
      </c>
      <c r="B103" s="178" t="s">
        <v>28</v>
      </c>
      <c r="C103" s="178" t="s">
        <v>95</v>
      </c>
      <c r="D103" s="178" t="s">
        <v>305</v>
      </c>
      <c r="E103" s="178" t="s">
        <v>278</v>
      </c>
      <c r="F103" s="179" t="s">
        <v>204</v>
      </c>
      <c r="G103" s="177" t="s">
        <v>12</v>
      </c>
      <c r="H103" s="177">
        <v>2</v>
      </c>
      <c r="I103" s="177" t="s">
        <v>490</v>
      </c>
      <c r="J103" s="270"/>
      <c r="K103" s="177" t="s">
        <v>431</v>
      </c>
      <c r="L103" s="177"/>
      <c r="M103" s="177"/>
      <c r="N103" s="177"/>
      <c r="O103" s="177" t="s">
        <v>609</v>
      </c>
    </row>
    <row r="104" spans="1:15" ht="15.95" customHeight="1" x14ac:dyDescent="0.25">
      <c r="A104" s="177" t="s">
        <v>842</v>
      </c>
      <c r="B104" s="178" t="s">
        <v>28</v>
      </c>
      <c r="C104" s="178" t="s">
        <v>96</v>
      </c>
      <c r="D104" s="178" t="s">
        <v>91</v>
      </c>
      <c r="E104" s="178" t="s">
        <v>279</v>
      </c>
      <c r="F104" s="179" t="s">
        <v>204</v>
      </c>
      <c r="G104" s="177" t="s">
        <v>12</v>
      </c>
      <c r="H104" s="177">
        <f>1/2</f>
        <v>0.5</v>
      </c>
      <c r="I104" s="177" t="s">
        <v>491</v>
      </c>
      <c r="J104" s="270"/>
      <c r="K104" s="177" t="s">
        <v>431</v>
      </c>
      <c r="L104" s="177"/>
      <c r="M104" s="177"/>
      <c r="N104" s="177"/>
      <c r="O104" s="177" t="s">
        <v>611</v>
      </c>
    </row>
    <row r="105" spans="1:15" ht="15.95" customHeight="1" x14ac:dyDescent="0.25">
      <c r="A105" s="177" t="s">
        <v>843</v>
      </c>
      <c r="B105" s="178" t="s">
        <v>28</v>
      </c>
      <c r="C105" s="178" t="s">
        <v>96</v>
      </c>
      <c r="D105" s="178" t="s">
        <v>131</v>
      </c>
      <c r="E105" s="178" t="s">
        <v>280</v>
      </c>
      <c r="F105" s="179" t="s">
        <v>204</v>
      </c>
      <c r="G105" s="177" t="s">
        <v>12</v>
      </c>
      <c r="H105" s="177">
        <v>0</v>
      </c>
      <c r="I105" s="177" t="s">
        <v>492</v>
      </c>
      <c r="J105" s="270"/>
      <c r="K105" s="177" t="s">
        <v>431</v>
      </c>
      <c r="L105" s="177"/>
      <c r="M105" s="177"/>
      <c r="N105" s="177"/>
      <c r="O105" s="177" t="s">
        <v>610</v>
      </c>
    </row>
    <row r="106" spans="1:15" ht="15.95" customHeight="1" x14ac:dyDescent="0.25">
      <c r="A106" s="177" t="s">
        <v>844</v>
      </c>
      <c r="B106" s="178" t="s">
        <v>28</v>
      </c>
      <c r="C106" s="178" t="s">
        <v>96</v>
      </c>
      <c r="D106" s="178" t="s">
        <v>92</v>
      </c>
      <c r="E106" s="178" t="s">
        <v>281</v>
      </c>
      <c r="F106" s="179" t="s">
        <v>204</v>
      </c>
      <c r="G106" s="177" t="s">
        <v>8</v>
      </c>
      <c r="H106" s="177">
        <v>1</v>
      </c>
      <c r="I106" s="177" t="s">
        <v>92</v>
      </c>
      <c r="J106" s="270"/>
      <c r="K106" s="177" t="s">
        <v>431</v>
      </c>
      <c r="L106" s="177"/>
      <c r="M106" s="177"/>
      <c r="N106" s="177"/>
      <c r="O106" s="177" t="s">
        <v>612</v>
      </c>
    </row>
    <row r="107" spans="1:15" ht="15.95" hidden="1" customHeight="1" x14ac:dyDescent="0.25">
      <c r="A107" s="177" t="s">
        <v>865</v>
      </c>
      <c r="B107" s="178" t="s">
        <v>28</v>
      </c>
      <c r="C107" s="178" t="s">
        <v>287</v>
      </c>
      <c r="D107" s="178" t="s">
        <v>288</v>
      </c>
      <c r="E107" s="178" t="s">
        <v>289</v>
      </c>
      <c r="F107" s="179" t="s">
        <v>217</v>
      </c>
      <c r="G107" s="177" t="s">
        <v>132</v>
      </c>
      <c r="H107" s="177">
        <f>1/10</f>
        <v>0.1</v>
      </c>
      <c r="I107" s="177" t="s">
        <v>288</v>
      </c>
      <c r="J107" s="203"/>
      <c r="K107" s="177" t="s">
        <v>431</v>
      </c>
      <c r="L107" s="177"/>
      <c r="M107" s="177"/>
      <c r="N107" s="177"/>
      <c r="O107" s="177" t="s">
        <v>613</v>
      </c>
    </row>
    <row r="108" spans="1:15" x14ac:dyDescent="0.25">
      <c r="A108" s="177" t="s">
        <v>845</v>
      </c>
      <c r="B108" s="178" t="s">
        <v>28</v>
      </c>
      <c r="C108" s="178" t="s">
        <v>287</v>
      </c>
      <c r="D108" s="178" t="s">
        <v>288</v>
      </c>
      <c r="E108" s="178" t="s">
        <v>290</v>
      </c>
      <c r="F108" s="179" t="s">
        <v>204</v>
      </c>
      <c r="G108" s="177" t="s">
        <v>12</v>
      </c>
      <c r="H108" s="177">
        <v>3</v>
      </c>
      <c r="I108" s="177" t="s">
        <v>288</v>
      </c>
      <c r="J108" s="270"/>
      <c r="K108" s="177" t="s">
        <v>431</v>
      </c>
      <c r="L108" s="177"/>
      <c r="M108" s="177"/>
      <c r="N108" s="177"/>
      <c r="O108" s="177" t="s">
        <v>614</v>
      </c>
    </row>
    <row r="109" spans="1:15" ht="15.95" hidden="1" customHeight="1" x14ac:dyDescent="0.25">
      <c r="A109" s="177" t="s">
        <v>866</v>
      </c>
      <c r="B109" s="178" t="s">
        <v>28</v>
      </c>
      <c r="C109" s="178" t="s">
        <v>259</v>
      </c>
      <c r="D109" s="178" t="s">
        <v>282</v>
      </c>
      <c r="E109" s="178" t="s">
        <v>283</v>
      </c>
      <c r="F109" s="179" t="s">
        <v>217</v>
      </c>
      <c r="G109" s="177" t="s">
        <v>132</v>
      </c>
      <c r="H109" s="177">
        <f>1/10</f>
        <v>0.1</v>
      </c>
      <c r="I109" s="177" t="s">
        <v>493</v>
      </c>
      <c r="J109" s="203"/>
      <c r="K109" s="177" t="s">
        <v>431</v>
      </c>
      <c r="L109" s="177"/>
      <c r="M109" s="177"/>
      <c r="N109" s="177"/>
      <c r="O109" s="177" t="s">
        <v>615</v>
      </c>
    </row>
    <row r="110" spans="1:15" ht="15.95" hidden="1" customHeight="1" x14ac:dyDescent="0.25">
      <c r="A110" s="177" t="s">
        <v>867</v>
      </c>
      <c r="B110" s="178" t="s">
        <v>28</v>
      </c>
      <c r="C110" s="178" t="s">
        <v>259</v>
      </c>
      <c r="D110" s="178" t="s">
        <v>284</v>
      </c>
      <c r="E110" s="178" t="s">
        <v>285</v>
      </c>
      <c r="F110" s="179" t="s">
        <v>217</v>
      </c>
      <c r="G110" s="177" t="s">
        <v>286</v>
      </c>
      <c r="H110" s="177">
        <f>1/20</f>
        <v>0.05</v>
      </c>
      <c r="I110" s="177" t="s">
        <v>494</v>
      </c>
      <c r="J110" s="203"/>
      <c r="K110" s="177" t="s">
        <v>431</v>
      </c>
      <c r="L110" s="177"/>
      <c r="M110" s="177"/>
      <c r="N110" s="177"/>
      <c r="O110" s="177" t="s">
        <v>618</v>
      </c>
    </row>
    <row r="111" spans="1:15" ht="15.95" customHeight="1" x14ac:dyDescent="0.25">
      <c r="A111" s="177" t="s">
        <v>846</v>
      </c>
      <c r="B111" s="178" t="s">
        <v>28</v>
      </c>
      <c r="C111" s="178" t="s">
        <v>259</v>
      </c>
      <c r="D111" s="178" t="s">
        <v>291</v>
      </c>
      <c r="E111" s="178" t="s">
        <v>293</v>
      </c>
      <c r="F111" s="179" t="s">
        <v>204</v>
      </c>
      <c r="G111" s="177" t="s">
        <v>8</v>
      </c>
      <c r="H111" s="177">
        <v>1</v>
      </c>
      <c r="I111" s="177" t="s">
        <v>495</v>
      </c>
      <c r="J111" s="270"/>
      <c r="K111" s="177" t="s">
        <v>431</v>
      </c>
      <c r="L111" s="177"/>
      <c r="M111" s="177"/>
      <c r="N111" s="177"/>
      <c r="O111" s="177" t="s">
        <v>616</v>
      </c>
    </row>
    <row r="112" spans="1:15" ht="15.95" customHeight="1" x14ac:dyDescent="0.25">
      <c r="A112" s="177" t="s">
        <v>847</v>
      </c>
      <c r="B112" s="178" t="s">
        <v>28</v>
      </c>
      <c r="C112" s="178" t="s">
        <v>259</v>
      </c>
      <c r="D112" s="178" t="s">
        <v>292</v>
      </c>
      <c r="E112" s="178" t="s">
        <v>294</v>
      </c>
      <c r="F112" s="179" t="s">
        <v>204</v>
      </c>
      <c r="G112" s="177" t="s">
        <v>8</v>
      </c>
      <c r="H112" s="177">
        <v>1</v>
      </c>
      <c r="I112" s="177" t="s">
        <v>496</v>
      </c>
      <c r="J112" s="270"/>
      <c r="K112" s="177" t="s">
        <v>431</v>
      </c>
      <c r="L112" s="177"/>
      <c r="M112" s="177"/>
      <c r="N112" s="177"/>
      <c r="O112" s="177" t="s">
        <v>617</v>
      </c>
    </row>
    <row r="113" spans="1:15" ht="15.95" customHeight="1" x14ac:dyDescent="0.25">
      <c r="A113" s="177" t="s">
        <v>848</v>
      </c>
      <c r="B113" s="178" t="s">
        <v>28</v>
      </c>
      <c r="C113" s="178" t="s">
        <v>259</v>
      </c>
      <c r="D113" s="178" t="s">
        <v>306</v>
      </c>
      <c r="E113" s="178" t="s">
        <v>307</v>
      </c>
      <c r="F113" s="179" t="s">
        <v>204</v>
      </c>
      <c r="G113" s="177" t="s">
        <v>8</v>
      </c>
      <c r="H113" s="177">
        <v>1</v>
      </c>
      <c r="I113" s="177" t="s">
        <v>497</v>
      </c>
      <c r="J113" s="270"/>
      <c r="K113" s="177" t="s">
        <v>431</v>
      </c>
      <c r="L113" s="177"/>
      <c r="M113" s="177"/>
      <c r="N113" s="177"/>
      <c r="O113" s="177" t="s">
        <v>619</v>
      </c>
    </row>
    <row r="114" spans="1:15" ht="30" hidden="1" x14ac:dyDescent="0.25">
      <c r="A114" s="177" t="s">
        <v>720</v>
      </c>
      <c r="B114" s="178" t="s">
        <v>28</v>
      </c>
      <c r="C114" s="178" t="s">
        <v>260</v>
      </c>
      <c r="D114" s="178" t="s">
        <v>19</v>
      </c>
      <c r="E114" s="178" t="s">
        <v>295</v>
      </c>
      <c r="F114" s="179" t="s">
        <v>217</v>
      </c>
      <c r="G114" s="177" t="s">
        <v>132</v>
      </c>
      <c r="H114" s="177">
        <f>1/10</f>
        <v>0.1</v>
      </c>
      <c r="I114" s="177" t="s">
        <v>19</v>
      </c>
      <c r="J114" s="201"/>
      <c r="K114" s="177" t="s">
        <v>431</v>
      </c>
      <c r="L114" s="177"/>
      <c r="M114" s="177"/>
      <c r="N114" s="177"/>
      <c r="O114" s="177" t="s">
        <v>574</v>
      </c>
    </row>
    <row r="115" spans="1:15" x14ac:dyDescent="0.25">
      <c r="A115" s="177" t="s">
        <v>721</v>
      </c>
      <c r="B115" s="178" t="s">
        <v>28</v>
      </c>
      <c r="C115" s="178" t="s">
        <v>260</v>
      </c>
      <c r="D115" s="178" t="s">
        <v>29</v>
      </c>
      <c r="E115" s="178" t="s">
        <v>296</v>
      </c>
      <c r="F115" s="179" t="s">
        <v>204</v>
      </c>
      <c r="G115" s="177" t="s">
        <v>9</v>
      </c>
      <c r="H115" s="177">
        <v>52</v>
      </c>
      <c r="I115" s="177" t="s">
        <v>29</v>
      </c>
      <c r="J115" s="270"/>
      <c r="K115" s="177" t="s">
        <v>432</v>
      </c>
      <c r="L115" s="177"/>
      <c r="M115" s="177"/>
      <c r="N115" s="177"/>
      <c r="O115" s="177" t="s">
        <v>620</v>
      </c>
    </row>
    <row r="116" spans="1:15" ht="15.95" customHeight="1" x14ac:dyDescent="0.25">
      <c r="A116" s="177" t="s">
        <v>722</v>
      </c>
      <c r="B116" s="178" t="s">
        <v>28</v>
      </c>
      <c r="C116" s="178" t="s">
        <v>260</v>
      </c>
      <c r="D116" s="178" t="s">
        <v>97</v>
      </c>
      <c r="E116" s="178" t="s">
        <v>297</v>
      </c>
      <c r="F116" s="179" t="s">
        <v>204</v>
      </c>
      <c r="G116" s="177" t="s">
        <v>10</v>
      </c>
      <c r="H116" s="177">
        <v>12</v>
      </c>
      <c r="I116" s="177" t="s">
        <v>679</v>
      </c>
      <c r="J116" s="270"/>
      <c r="K116" s="177" t="s">
        <v>454</v>
      </c>
      <c r="L116" s="177"/>
      <c r="M116" s="177"/>
      <c r="N116" s="177"/>
      <c r="O116" s="177" t="s">
        <v>621</v>
      </c>
    </row>
    <row r="117" spans="1:15" ht="15.95" customHeight="1" x14ac:dyDescent="0.25">
      <c r="A117" s="177" t="s">
        <v>723</v>
      </c>
      <c r="B117" s="178" t="s">
        <v>28</v>
      </c>
      <c r="C117" s="178" t="s">
        <v>260</v>
      </c>
      <c r="D117" s="178" t="s">
        <v>98</v>
      </c>
      <c r="E117" s="178" t="s">
        <v>298</v>
      </c>
      <c r="F117" s="179" t="s">
        <v>204</v>
      </c>
      <c r="G117" s="177" t="s">
        <v>10</v>
      </c>
      <c r="H117" s="177">
        <v>12</v>
      </c>
      <c r="I117" s="177" t="s">
        <v>678</v>
      </c>
      <c r="J117" s="270"/>
      <c r="K117" s="177" t="s">
        <v>454</v>
      </c>
      <c r="L117" s="177"/>
      <c r="M117" s="177"/>
      <c r="N117" s="177"/>
      <c r="O117" s="177" t="s">
        <v>622</v>
      </c>
    </row>
    <row r="118" spans="1:15" ht="15.95" customHeight="1" x14ac:dyDescent="0.25">
      <c r="A118" s="177" t="s">
        <v>724</v>
      </c>
      <c r="B118" s="178" t="s">
        <v>28</v>
      </c>
      <c r="C118" s="178" t="s">
        <v>260</v>
      </c>
      <c r="D118" s="178" t="s">
        <v>122</v>
      </c>
      <c r="E118" s="178" t="s">
        <v>299</v>
      </c>
      <c r="F118" s="179" t="s">
        <v>204</v>
      </c>
      <c r="G118" s="177" t="s">
        <v>10</v>
      </c>
      <c r="H118" s="177">
        <v>12</v>
      </c>
      <c r="I118" s="177" t="s">
        <v>449</v>
      </c>
      <c r="J118" s="270"/>
      <c r="K118" s="177" t="s">
        <v>454</v>
      </c>
      <c r="L118" s="177"/>
      <c r="M118" s="177"/>
      <c r="N118" s="177"/>
      <c r="O118" s="177" t="s">
        <v>623</v>
      </c>
    </row>
    <row r="119" spans="1:15" ht="15.95" customHeight="1" x14ac:dyDescent="0.25">
      <c r="A119" s="177" t="s">
        <v>725</v>
      </c>
      <c r="B119" s="178" t="s">
        <v>28</v>
      </c>
      <c r="C119" s="178" t="s">
        <v>260</v>
      </c>
      <c r="D119" s="178" t="s">
        <v>123</v>
      </c>
      <c r="E119" s="178" t="s">
        <v>300</v>
      </c>
      <c r="F119" s="179" t="s">
        <v>204</v>
      </c>
      <c r="G119" s="177" t="s">
        <v>10</v>
      </c>
      <c r="H119" s="177">
        <v>12</v>
      </c>
      <c r="I119" s="177" t="s">
        <v>450</v>
      </c>
      <c r="J119" s="270"/>
      <c r="K119" s="177" t="s">
        <v>454</v>
      </c>
      <c r="L119" s="177"/>
      <c r="M119" s="177"/>
      <c r="N119" s="177"/>
      <c r="O119" s="177" t="s">
        <v>624</v>
      </c>
    </row>
    <row r="120" spans="1:15" ht="15.95" customHeight="1" x14ac:dyDescent="0.25">
      <c r="A120" s="177" t="s">
        <v>726</v>
      </c>
      <c r="B120" s="178" t="s">
        <v>28</v>
      </c>
      <c r="C120" s="178" t="s">
        <v>260</v>
      </c>
      <c r="D120" s="178" t="s">
        <v>124</v>
      </c>
      <c r="E120" s="178" t="s">
        <v>301</v>
      </c>
      <c r="F120" s="179" t="s">
        <v>204</v>
      </c>
      <c r="G120" s="177" t="s">
        <v>10</v>
      </c>
      <c r="H120" s="177">
        <v>12</v>
      </c>
      <c r="I120" s="177" t="s">
        <v>451</v>
      </c>
      <c r="J120" s="270"/>
      <c r="K120" s="177" t="s">
        <v>454</v>
      </c>
      <c r="L120" s="177"/>
      <c r="M120" s="177"/>
      <c r="N120" s="177"/>
      <c r="O120" s="177" t="s">
        <v>625</v>
      </c>
    </row>
    <row r="121" spans="1:15" ht="15.95" customHeight="1" x14ac:dyDescent="0.25">
      <c r="A121" s="177" t="s">
        <v>727</v>
      </c>
      <c r="B121" s="178" t="s">
        <v>28</v>
      </c>
      <c r="C121" s="178" t="s">
        <v>260</v>
      </c>
      <c r="D121" s="178" t="s">
        <v>125</v>
      </c>
      <c r="E121" s="178" t="s">
        <v>302</v>
      </c>
      <c r="F121" s="179" t="s">
        <v>204</v>
      </c>
      <c r="G121" s="177" t="s">
        <v>10</v>
      </c>
      <c r="H121" s="177">
        <v>12</v>
      </c>
      <c r="I121" s="177" t="s">
        <v>452</v>
      </c>
      <c r="J121" s="270"/>
      <c r="K121" s="177" t="s">
        <v>454</v>
      </c>
      <c r="L121" s="177"/>
      <c r="M121" s="177"/>
      <c r="N121" s="177"/>
      <c r="O121" s="177" t="s">
        <v>626</v>
      </c>
    </row>
    <row r="122" spans="1:15" ht="15.95" customHeight="1" x14ac:dyDescent="0.25">
      <c r="A122" s="177" t="s">
        <v>728</v>
      </c>
      <c r="B122" s="178" t="s">
        <v>28</v>
      </c>
      <c r="C122" s="178" t="s">
        <v>260</v>
      </c>
      <c r="D122" s="178" t="s">
        <v>126</v>
      </c>
      <c r="E122" s="178" t="s">
        <v>303</v>
      </c>
      <c r="F122" s="179" t="s">
        <v>204</v>
      </c>
      <c r="G122" s="177" t="s">
        <v>10</v>
      </c>
      <c r="H122" s="177">
        <v>12</v>
      </c>
      <c r="I122" s="177" t="s">
        <v>453</v>
      </c>
      <c r="J122" s="270"/>
      <c r="K122" s="177" t="s">
        <v>454</v>
      </c>
      <c r="L122" s="177"/>
      <c r="M122" s="177"/>
      <c r="N122" s="177"/>
      <c r="O122" s="177" t="s">
        <v>627</v>
      </c>
    </row>
    <row r="123" spans="1:15" ht="15.95" customHeight="1" x14ac:dyDescent="0.25">
      <c r="A123" s="177" t="s">
        <v>257</v>
      </c>
      <c r="B123" s="178" t="s">
        <v>28</v>
      </c>
      <c r="C123" s="178" t="s">
        <v>260</v>
      </c>
      <c r="D123" s="178" t="s">
        <v>127</v>
      </c>
      <c r="E123" s="178" t="s">
        <v>304</v>
      </c>
      <c r="F123" s="179" t="s">
        <v>204</v>
      </c>
      <c r="G123" s="177" t="s">
        <v>10</v>
      </c>
      <c r="H123" s="177">
        <v>12</v>
      </c>
      <c r="I123" s="177" t="s">
        <v>455</v>
      </c>
      <c r="J123" s="270"/>
      <c r="K123" s="177" t="s">
        <v>454</v>
      </c>
      <c r="L123" s="177"/>
      <c r="M123" s="177"/>
      <c r="N123" s="177"/>
      <c r="O123" s="177" t="s">
        <v>628</v>
      </c>
    </row>
    <row r="124" spans="1:15" ht="15.95" hidden="1" customHeight="1" x14ac:dyDescent="0.25">
      <c r="A124" s="177" t="s">
        <v>729</v>
      </c>
      <c r="B124" s="178" t="s">
        <v>30</v>
      </c>
      <c r="C124" s="178" t="s">
        <v>99</v>
      </c>
      <c r="D124" s="178" t="s">
        <v>102</v>
      </c>
      <c r="E124" s="178" t="s">
        <v>629</v>
      </c>
      <c r="F124" s="179" t="s">
        <v>217</v>
      </c>
      <c r="G124" s="177" t="s">
        <v>132</v>
      </c>
      <c r="H124" s="177">
        <f>1/10</f>
        <v>0.1</v>
      </c>
      <c r="I124" s="177" t="s">
        <v>456</v>
      </c>
      <c r="J124" s="203"/>
      <c r="K124" s="177" t="s">
        <v>431</v>
      </c>
      <c r="L124" s="177"/>
      <c r="M124" s="177"/>
      <c r="N124" s="177"/>
      <c r="O124" s="177" t="s">
        <v>631</v>
      </c>
    </row>
    <row r="125" spans="1:15" ht="15.95" hidden="1" customHeight="1" x14ac:dyDescent="0.25">
      <c r="A125" s="177" t="s">
        <v>732</v>
      </c>
      <c r="B125" s="178" t="s">
        <v>30</v>
      </c>
      <c r="C125" s="178" t="s">
        <v>99</v>
      </c>
      <c r="D125" s="178" t="s">
        <v>102</v>
      </c>
      <c r="E125" s="178" t="s">
        <v>630</v>
      </c>
      <c r="F125" s="179" t="s">
        <v>217</v>
      </c>
      <c r="G125" s="177" t="s">
        <v>132</v>
      </c>
      <c r="H125" s="177">
        <v>0</v>
      </c>
      <c r="I125" s="177" t="s">
        <v>457</v>
      </c>
      <c r="J125" s="203"/>
      <c r="K125" s="177" t="s">
        <v>431</v>
      </c>
      <c r="L125" s="177"/>
      <c r="M125" s="177"/>
      <c r="N125" s="177"/>
      <c r="O125" s="177" t="s">
        <v>632</v>
      </c>
    </row>
    <row r="126" spans="1:15" ht="15.95" hidden="1" customHeight="1" x14ac:dyDescent="0.25">
      <c r="A126" s="177" t="s">
        <v>733</v>
      </c>
      <c r="B126" s="178" t="s">
        <v>30</v>
      </c>
      <c r="C126" s="178" t="s">
        <v>99</v>
      </c>
      <c r="D126" s="178" t="s">
        <v>102</v>
      </c>
      <c r="E126" s="178" t="s">
        <v>372</v>
      </c>
      <c r="F126" s="179" t="s">
        <v>217</v>
      </c>
      <c r="G126" s="177" t="s">
        <v>286</v>
      </c>
      <c r="H126" s="177">
        <v>0</v>
      </c>
      <c r="I126" s="177" t="s">
        <v>458</v>
      </c>
      <c r="J126" s="203"/>
      <c r="K126" s="177" t="s">
        <v>431</v>
      </c>
      <c r="L126" s="177"/>
      <c r="M126" s="177"/>
      <c r="N126" s="177"/>
      <c r="O126" s="177" t="s">
        <v>633</v>
      </c>
    </row>
    <row r="127" spans="1:15" x14ac:dyDescent="0.25">
      <c r="A127" s="177" t="s">
        <v>734</v>
      </c>
      <c r="B127" s="178" t="s">
        <v>30</v>
      </c>
      <c r="C127" s="178" t="s">
        <v>99</v>
      </c>
      <c r="D127" s="178" t="s">
        <v>102</v>
      </c>
      <c r="E127" s="178" t="s">
        <v>634</v>
      </c>
      <c r="F127" s="179" t="s">
        <v>204</v>
      </c>
      <c r="G127" s="177" t="s">
        <v>8</v>
      </c>
      <c r="H127" s="177">
        <v>0</v>
      </c>
      <c r="I127" s="177" t="s">
        <v>458</v>
      </c>
      <c r="J127" s="270"/>
      <c r="K127" s="177" t="s">
        <v>431</v>
      </c>
      <c r="L127" s="177"/>
      <c r="M127" s="177"/>
      <c r="N127" s="177"/>
      <c r="O127" s="177" t="s">
        <v>1005</v>
      </c>
    </row>
    <row r="128" spans="1:15" x14ac:dyDescent="0.25">
      <c r="A128" s="177" t="s">
        <v>735</v>
      </c>
      <c r="B128" s="178" t="s">
        <v>30</v>
      </c>
      <c r="C128" s="178" t="s">
        <v>99</v>
      </c>
      <c r="D128" s="178" t="s">
        <v>100</v>
      </c>
      <c r="E128" s="178" t="s">
        <v>310</v>
      </c>
      <c r="F128" s="179" t="s">
        <v>204</v>
      </c>
      <c r="G128" s="177" t="s">
        <v>12</v>
      </c>
      <c r="H128" s="177">
        <v>2</v>
      </c>
      <c r="I128" s="177" t="s">
        <v>459</v>
      </c>
      <c r="J128" s="270"/>
      <c r="K128" s="177" t="s">
        <v>431</v>
      </c>
      <c r="L128" s="177"/>
      <c r="M128" s="177"/>
      <c r="N128" s="177"/>
      <c r="O128" s="177" t="s">
        <v>635</v>
      </c>
    </row>
    <row r="129" spans="1:15" ht="15.95" hidden="1" customHeight="1" x14ac:dyDescent="0.25">
      <c r="A129" s="177" t="s">
        <v>736</v>
      </c>
      <c r="B129" s="178" t="s">
        <v>30</v>
      </c>
      <c r="C129" s="178" t="s">
        <v>99</v>
      </c>
      <c r="D129" s="178" t="s">
        <v>101</v>
      </c>
      <c r="E129" s="178" t="s">
        <v>637</v>
      </c>
      <c r="F129" s="179" t="s">
        <v>217</v>
      </c>
      <c r="G129" s="177" t="s">
        <v>132</v>
      </c>
      <c r="H129" s="177">
        <f>1/10</f>
        <v>0.1</v>
      </c>
      <c r="I129" s="177" t="s">
        <v>460</v>
      </c>
      <c r="J129" s="203"/>
      <c r="K129" s="177" t="s">
        <v>431</v>
      </c>
      <c r="L129" s="177"/>
      <c r="M129" s="177"/>
      <c r="N129" s="177"/>
      <c r="O129" s="177" t="s">
        <v>636</v>
      </c>
    </row>
    <row r="130" spans="1:15" hidden="1" x14ac:dyDescent="0.25">
      <c r="A130" s="177" t="s">
        <v>737</v>
      </c>
      <c r="B130" s="178" t="s">
        <v>30</v>
      </c>
      <c r="C130" s="178" t="s">
        <v>99</v>
      </c>
      <c r="D130" s="178" t="s">
        <v>102</v>
      </c>
      <c r="E130" s="183" t="s">
        <v>638</v>
      </c>
      <c r="F130" s="179" t="s">
        <v>15</v>
      </c>
      <c r="G130" s="177" t="s">
        <v>12</v>
      </c>
      <c r="H130" s="177">
        <v>0</v>
      </c>
      <c r="I130" s="177" t="s">
        <v>456</v>
      </c>
      <c r="J130" s="201"/>
      <c r="K130" s="177" t="s">
        <v>431</v>
      </c>
      <c r="L130" s="177"/>
      <c r="M130" s="177"/>
      <c r="N130" s="177"/>
      <c r="O130" s="177" t="s">
        <v>631</v>
      </c>
    </row>
    <row r="131" spans="1:15" ht="15.95" customHeight="1" x14ac:dyDescent="0.25">
      <c r="A131" s="177" t="s">
        <v>738</v>
      </c>
      <c r="B131" s="178" t="s">
        <v>30</v>
      </c>
      <c r="C131" s="178" t="s">
        <v>344</v>
      </c>
      <c r="D131" s="178" t="s">
        <v>1</v>
      </c>
      <c r="E131" s="178" t="s">
        <v>367</v>
      </c>
      <c r="F131" s="179" t="s">
        <v>204</v>
      </c>
      <c r="G131" s="177" t="s">
        <v>11</v>
      </c>
      <c r="H131" s="177">
        <v>4</v>
      </c>
      <c r="I131" s="177" t="s">
        <v>461</v>
      </c>
      <c r="J131" s="270"/>
      <c r="K131" s="177" t="s">
        <v>431</v>
      </c>
      <c r="L131" s="177"/>
      <c r="M131" s="177"/>
      <c r="N131" s="177"/>
      <c r="O131" s="177" t="s">
        <v>639</v>
      </c>
    </row>
    <row r="132" spans="1:15" x14ac:dyDescent="0.25">
      <c r="A132" s="177" t="s">
        <v>741</v>
      </c>
      <c r="B132" s="178" t="s">
        <v>30</v>
      </c>
      <c r="C132" s="178" t="s">
        <v>344</v>
      </c>
      <c r="D132" s="178" t="s">
        <v>1</v>
      </c>
      <c r="E132" s="178" t="s">
        <v>364</v>
      </c>
      <c r="F132" s="179" t="s">
        <v>204</v>
      </c>
      <c r="G132" s="177" t="s">
        <v>8</v>
      </c>
      <c r="H132" s="177">
        <v>1</v>
      </c>
      <c r="I132" s="177" t="s">
        <v>461</v>
      </c>
      <c r="J132" s="270"/>
      <c r="K132" s="177" t="s">
        <v>431</v>
      </c>
      <c r="L132" s="177"/>
      <c r="M132" s="177"/>
      <c r="N132" s="177"/>
      <c r="O132" s="177" t="s">
        <v>639</v>
      </c>
    </row>
    <row r="133" spans="1:15" ht="15.95" customHeight="1" x14ac:dyDescent="0.25">
      <c r="A133" s="177" t="s">
        <v>742</v>
      </c>
      <c r="B133" s="178" t="s">
        <v>30</v>
      </c>
      <c r="C133" s="178" t="s">
        <v>344</v>
      </c>
      <c r="D133" s="178" t="s">
        <v>1</v>
      </c>
      <c r="E133" s="178" t="s">
        <v>640</v>
      </c>
      <c r="F133" s="179" t="s">
        <v>204</v>
      </c>
      <c r="G133" s="177" t="s">
        <v>8</v>
      </c>
      <c r="H133" s="177">
        <v>1</v>
      </c>
      <c r="I133" s="177" t="s">
        <v>462</v>
      </c>
      <c r="J133" s="270"/>
      <c r="K133" s="177" t="s">
        <v>431</v>
      </c>
      <c r="L133" s="177"/>
      <c r="M133" s="177"/>
      <c r="N133" s="177"/>
      <c r="O133" s="177" t="s">
        <v>558</v>
      </c>
    </row>
    <row r="134" spans="1:15" ht="15.95" customHeight="1" x14ac:dyDescent="0.25">
      <c r="A134" s="177" t="s">
        <v>743</v>
      </c>
      <c r="B134" s="178" t="s">
        <v>30</v>
      </c>
      <c r="C134" s="178" t="s">
        <v>344</v>
      </c>
      <c r="D134" s="178" t="s">
        <v>1</v>
      </c>
      <c r="E134" s="178" t="s">
        <v>312</v>
      </c>
      <c r="F134" s="179" t="s">
        <v>204</v>
      </c>
      <c r="G134" s="177" t="s">
        <v>8</v>
      </c>
      <c r="H134" s="177">
        <v>1</v>
      </c>
      <c r="I134" s="177" t="s">
        <v>677</v>
      </c>
      <c r="J134" s="270"/>
      <c r="K134" s="177" t="s">
        <v>431</v>
      </c>
      <c r="L134" s="177"/>
      <c r="M134" s="177"/>
      <c r="N134" s="177"/>
      <c r="O134" s="177" t="s">
        <v>641</v>
      </c>
    </row>
    <row r="135" spans="1:15" x14ac:dyDescent="0.25">
      <c r="A135" s="177" t="s">
        <v>744</v>
      </c>
      <c r="B135" s="178" t="s">
        <v>30</v>
      </c>
      <c r="C135" s="178" t="s">
        <v>344</v>
      </c>
      <c r="D135" s="178" t="s">
        <v>313</v>
      </c>
      <c r="E135" s="178" t="s">
        <v>314</v>
      </c>
      <c r="F135" s="179" t="s">
        <v>204</v>
      </c>
      <c r="G135" s="177" t="s">
        <v>8</v>
      </c>
      <c r="H135" s="177">
        <v>1</v>
      </c>
      <c r="I135" s="177" t="s">
        <v>313</v>
      </c>
      <c r="J135" s="270"/>
      <c r="K135" s="177" t="s">
        <v>431</v>
      </c>
      <c r="L135" s="177"/>
      <c r="M135" s="177"/>
      <c r="N135" s="177"/>
      <c r="O135" s="177" t="s">
        <v>642</v>
      </c>
    </row>
    <row r="136" spans="1:15" x14ac:dyDescent="0.25">
      <c r="A136" s="177" t="s">
        <v>745</v>
      </c>
      <c r="B136" s="178" t="s">
        <v>30</v>
      </c>
      <c r="C136" s="178" t="s">
        <v>344</v>
      </c>
      <c r="D136" s="178" t="s">
        <v>103</v>
      </c>
      <c r="E136" s="178" t="s">
        <v>311</v>
      </c>
      <c r="F136" s="179" t="s">
        <v>204</v>
      </c>
      <c r="G136" s="177" t="s">
        <v>8</v>
      </c>
      <c r="H136" s="177">
        <v>1</v>
      </c>
      <c r="I136" s="177" t="s">
        <v>103</v>
      </c>
      <c r="J136" s="270"/>
      <c r="K136" s="177" t="s">
        <v>431</v>
      </c>
      <c r="L136" s="177"/>
      <c r="M136" s="177"/>
      <c r="N136" s="177"/>
      <c r="O136" s="177" t="s">
        <v>1006</v>
      </c>
    </row>
    <row r="137" spans="1:15" x14ac:dyDescent="0.25">
      <c r="A137" s="177" t="s">
        <v>746</v>
      </c>
      <c r="B137" s="178" t="s">
        <v>30</v>
      </c>
      <c r="C137" s="178" t="s">
        <v>344</v>
      </c>
      <c r="D137" s="178" t="s">
        <v>104</v>
      </c>
      <c r="E137" s="178" t="s">
        <v>316</v>
      </c>
      <c r="F137" s="179" t="s">
        <v>204</v>
      </c>
      <c r="G137" s="177" t="s">
        <v>8</v>
      </c>
      <c r="H137" s="177">
        <v>1</v>
      </c>
      <c r="I137" s="177" t="s">
        <v>104</v>
      </c>
      <c r="J137" s="270"/>
      <c r="K137" s="177" t="s">
        <v>431</v>
      </c>
      <c r="L137" s="177"/>
      <c r="M137" s="177"/>
      <c r="N137" s="177"/>
      <c r="O137" s="177" t="s">
        <v>1007</v>
      </c>
    </row>
    <row r="138" spans="1:15" ht="15.95" hidden="1" customHeight="1" x14ac:dyDescent="0.25">
      <c r="A138" s="177" t="s">
        <v>395</v>
      </c>
      <c r="B138" s="178" t="s">
        <v>30</v>
      </c>
      <c r="C138" s="178" t="s">
        <v>344</v>
      </c>
      <c r="D138" s="178" t="s">
        <v>1</v>
      </c>
      <c r="E138" s="178" t="s">
        <v>643</v>
      </c>
      <c r="F138" s="179" t="s">
        <v>217</v>
      </c>
      <c r="G138" s="177" t="s">
        <v>132</v>
      </c>
      <c r="H138" s="177">
        <v>0</v>
      </c>
      <c r="I138" s="177" t="s">
        <v>463</v>
      </c>
      <c r="J138" s="203"/>
      <c r="K138" s="177" t="s">
        <v>431</v>
      </c>
      <c r="L138" s="177"/>
      <c r="M138" s="177"/>
      <c r="N138" s="177"/>
      <c r="O138" s="177" t="s">
        <v>644</v>
      </c>
    </row>
    <row r="139" spans="1:15" ht="30" hidden="1" x14ac:dyDescent="0.25">
      <c r="A139" s="177" t="s">
        <v>860</v>
      </c>
      <c r="B139" s="178" t="s">
        <v>30</v>
      </c>
      <c r="C139" s="178" t="s">
        <v>74</v>
      </c>
      <c r="D139" s="178" t="s">
        <v>19</v>
      </c>
      <c r="E139" s="178" t="s">
        <v>315</v>
      </c>
      <c r="F139" s="179" t="s">
        <v>217</v>
      </c>
      <c r="G139" s="177" t="s">
        <v>35</v>
      </c>
      <c r="H139" s="177">
        <f>1/5</f>
        <v>0.2</v>
      </c>
      <c r="I139" s="177" t="s">
        <v>19</v>
      </c>
      <c r="J139" s="201"/>
      <c r="K139" s="177" t="s">
        <v>431</v>
      </c>
      <c r="L139" s="177"/>
      <c r="M139" s="177"/>
      <c r="N139" s="177"/>
      <c r="O139" s="177" t="s">
        <v>574</v>
      </c>
    </row>
    <row r="140" spans="1:15" ht="30" x14ac:dyDescent="0.25">
      <c r="A140" s="177" t="s">
        <v>849</v>
      </c>
      <c r="B140" s="178" t="s">
        <v>31</v>
      </c>
      <c r="C140" s="178" t="s">
        <v>75</v>
      </c>
      <c r="D140" s="178" t="s">
        <v>318</v>
      </c>
      <c r="E140" s="178" t="s">
        <v>317</v>
      </c>
      <c r="F140" s="179" t="s">
        <v>204</v>
      </c>
      <c r="G140" s="177" t="s">
        <v>8</v>
      </c>
      <c r="H140" s="177">
        <v>1</v>
      </c>
      <c r="I140" s="177" t="s">
        <v>318</v>
      </c>
      <c r="J140" s="270"/>
      <c r="K140" s="177" t="s">
        <v>431</v>
      </c>
      <c r="L140" s="177"/>
      <c r="M140" s="177"/>
      <c r="N140" s="177"/>
      <c r="O140" s="177" t="s">
        <v>1008</v>
      </c>
    </row>
    <row r="141" spans="1:15" ht="30" x14ac:dyDescent="0.25">
      <c r="A141" s="177" t="s">
        <v>850</v>
      </c>
      <c r="B141" s="178" t="s">
        <v>31</v>
      </c>
      <c r="C141" s="178" t="s">
        <v>75</v>
      </c>
      <c r="D141" s="178" t="s">
        <v>319</v>
      </c>
      <c r="E141" s="178" t="s">
        <v>320</v>
      </c>
      <c r="F141" s="179" t="s">
        <v>204</v>
      </c>
      <c r="G141" s="177" t="s">
        <v>8</v>
      </c>
      <c r="H141" s="177">
        <v>1</v>
      </c>
      <c r="I141" s="177" t="s">
        <v>319</v>
      </c>
      <c r="J141" s="270"/>
      <c r="K141" s="177" t="s">
        <v>431</v>
      </c>
      <c r="L141" s="177"/>
      <c r="M141" s="177"/>
      <c r="N141" s="177"/>
      <c r="O141" s="177" t="s">
        <v>1009</v>
      </c>
    </row>
    <row r="142" spans="1:15" x14ac:dyDescent="0.25">
      <c r="A142" s="177" t="s">
        <v>851</v>
      </c>
      <c r="B142" s="178" t="s">
        <v>31</v>
      </c>
      <c r="C142" s="178" t="s">
        <v>75</v>
      </c>
      <c r="D142" s="178" t="s">
        <v>2</v>
      </c>
      <c r="E142" s="178" t="s">
        <v>645</v>
      </c>
      <c r="F142" s="179" t="s">
        <v>204</v>
      </c>
      <c r="G142" s="177" t="s">
        <v>12</v>
      </c>
      <c r="H142" s="177">
        <v>1</v>
      </c>
      <c r="I142" s="177" t="s">
        <v>2</v>
      </c>
      <c r="J142" s="270"/>
      <c r="K142" s="177" t="s">
        <v>431</v>
      </c>
      <c r="L142" s="177"/>
      <c r="M142" s="177"/>
      <c r="N142" s="177"/>
      <c r="O142" s="177" t="s">
        <v>559</v>
      </c>
    </row>
    <row r="143" spans="1:15" x14ac:dyDescent="0.25">
      <c r="A143" s="177" t="s">
        <v>747</v>
      </c>
      <c r="B143" s="178" t="s">
        <v>31</v>
      </c>
      <c r="C143" s="178" t="s">
        <v>76</v>
      </c>
      <c r="D143" s="178" t="s">
        <v>101</v>
      </c>
      <c r="E143" s="178" t="s">
        <v>359</v>
      </c>
      <c r="F143" s="179" t="s">
        <v>204</v>
      </c>
      <c r="G143" s="177" t="s">
        <v>230</v>
      </c>
      <c r="H143" s="177">
        <f>1/3</f>
        <v>0.33333333333333331</v>
      </c>
      <c r="I143" s="177" t="s">
        <v>101</v>
      </c>
      <c r="J143" s="270"/>
      <c r="K143" s="177" t="s">
        <v>431</v>
      </c>
      <c r="L143" s="177"/>
      <c r="M143" s="177"/>
      <c r="N143" s="177"/>
      <c r="O143" s="177" t="s">
        <v>646</v>
      </c>
    </row>
    <row r="144" spans="1:15" ht="15.95" hidden="1" customHeight="1" x14ac:dyDescent="0.25">
      <c r="A144" s="177" t="s">
        <v>752</v>
      </c>
      <c r="B144" s="178" t="s">
        <v>31</v>
      </c>
      <c r="C144" s="178" t="s">
        <v>76</v>
      </c>
      <c r="D144" s="178" t="s">
        <v>101</v>
      </c>
      <c r="E144" s="178" t="s">
        <v>345</v>
      </c>
      <c r="F144" s="179" t="s">
        <v>217</v>
      </c>
      <c r="G144" s="177" t="s">
        <v>132</v>
      </c>
      <c r="H144" s="177">
        <f>1/10</f>
        <v>0.1</v>
      </c>
      <c r="I144" s="177" t="s">
        <v>464</v>
      </c>
      <c r="J144" s="203"/>
      <c r="K144" s="177" t="s">
        <v>431</v>
      </c>
      <c r="L144" s="177"/>
      <c r="M144" s="177"/>
      <c r="N144" s="177"/>
      <c r="O144" s="177" t="s">
        <v>647</v>
      </c>
    </row>
    <row r="145" spans="1:15" ht="15.95" hidden="1" customHeight="1" x14ac:dyDescent="0.25">
      <c r="A145" s="177" t="s">
        <v>753</v>
      </c>
      <c r="B145" s="178" t="s">
        <v>31</v>
      </c>
      <c r="C145" s="178" t="s">
        <v>76</v>
      </c>
      <c r="D145" s="178" t="s">
        <v>101</v>
      </c>
      <c r="E145" s="178" t="s">
        <v>346</v>
      </c>
      <c r="F145" s="179" t="s">
        <v>217</v>
      </c>
      <c r="G145" s="177" t="s">
        <v>347</v>
      </c>
      <c r="H145" s="177">
        <f>1/15</f>
        <v>6.6666666666666666E-2</v>
      </c>
      <c r="I145" s="177" t="s">
        <v>467</v>
      </c>
      <c r="J145" s="203"/>
      <c r="K145" s="177" t="s">
        <v>431</v>
      </c>
      <c r="L145" s="177"/>
      <c r="M145" s="177"/>
      <c r="N145" s="177"/>
      <c r="O145" s="177" t="s">
        <v>648</v>
      </c>
    </row>
    <row r="146" spans="1:15" x14ac:dyDescent="0.25">
      <c r="A146" s="177" t="s">
        <v>754</v>
      </c>
      <c r="B146" s="178" t="s">
        <v>31</v>
      </c>
      <c r="C146" s="178" t="s">
        <v>76</v>
      </c>
      <c r="D146" s="178" t="s">
        <v>101</v>
      </c>
      <c r="E146" s="178" t="s">
        <v>355</v>
      </c>
      <c r="F146" s="179" t="s">
        <v>204</v>
      </c>
      <c r="G146" s="177" t="s">
        <v>12</v>
      </c>
      <c r="H146" s="177">
        <v>1</v>
      </c>
      <c r="I146" s="177" t="s">
        <v>101</v>
      </c>
      <c r="J146" s="270"/>
      <c r="K146" s="177" t="s">
        <v>431</v>
      </c>
      <c r="L146" s="177"/>
      <c r="M146" s="177"/>
      <c r="N146" s="177"/>
      <c r="O146" s="177" t="s">
        <v>649</v>
      </c>
    </row>
    <row r="147" spans="1:15" ht="15.95" customHeight="1" x14ac:dyDescent="0.25">
      <c r="A147" s="177" t="s">
        <v>755</v>
      </c>
      <c r="B147" s="178" t="s">
        <v>31</v>
      </c>
      <c r="C147" s="178" t="s">
        <v>76</v>
      </c>
      <c r="D147" s="178" t="s">
        <v>104</v>
      </c>
      <c r="E147" s="178" t="s">
        <v>321</v>
      </c>
      <c r="F147" s="179" t="s">
        <v>204</v>
      </c>
      <c r="G147" s="177" t="s">
        <v>8</v>
      </c>
      <c r="H147" s="177">
        <v>1</v>
      </c>
      <c r="I147" s="177" t="s">
        <v>468</v>
      </c>
      <c r="J147" s="270"/>
      <c r="K147" s="177" t="s">
        <v>431</v>
      </c>
      <c r="L147" s="177"/>
      <c r="M147" s="177"/>
      <c r="N147" s="177"/>
      <c r="O147" s="177" t="s">
        <v>650</v>
      </c>
    </row>
    <row r="148" spans="1:15" ht="15.95" customHeight="1" x14ac:dyDescent="0.25">
      <c r="A148" s="177" t="s">
        <v>389</v>
      </c>
      <c r="B148" s="178" t="s">
        <v>31</v>
      </c>
      <c r="C148" s="178" t="s">
        <v>76</v>
      </c>
      <c r="D148" s="178" t="s">
        <v>676</v>
      </c>
      <c r="E148" s="178" t="s">
        <v>322</v>
      </c>
      <c r="F148" s="179" t="s">
        <v>204</v>
      </c>
      <c r="G148" s="177" t="s">
        <v>8</v>
      </c>
      <c r="H148" s="177">
        <v>1</v>
      </c>
      <c r="I148" s="177" t="s">
        <v>471</v>
      </c>
      <c r="J148" s="270"/>
      <c r="K148" s="177" t="s">
        <v>431</v>
      </c>
      <c r="L148" s="177"/>
      <c r="M148" s="177"/>
      <c r="N148" s="177"/>
      <c r="O148" s="177" t="s">
        <v>651</v>
      </c>
    </row>
    <row r="149" spans="1:15" ht="15.95" hidden="1" customHeight="1" x14ac:dyDescent="0.25">
      <c r="A149" s="177" t="s">
        <v>852</v>
      </c>
      <c r="B149" s="178" t="s">
        <v>31</v>
      </c>
      <c r="C149" s="178" t="s">
        <v>77</v>
      </c>
      <c r="D149" s="178" t="s">
        <v>108</v>
      </c>
      <c r="E149" s="178" t="s">
        <v>652</v>
      </c>
      <c r="F149" s="179" t="s">
        <v>15</v>
      </c>
      <c r="G149" s="177" t="s">
        <v>12</v>
      </c>
      <c r="H149" s="177">
        <v>0</v>
      </c>
      <c r="I149" s="177" t="s">
        <v>465</v>
      </c>
      <c r="J149" s="203"/>
      <c r="K149" s="177" t="s">
        <v>431</v>
      </c>
      <c r="L149" s="177"/>
      <c r="M149" s="177"/>
      <c r="N149" s="177"/>
      <c r="O149" s="177" t="s">
        <v>653</v>
      </c>
    </row>
    <row r="150" spans="1:15" x14ac:dyDescent="0.25">
      <c r="A150" s="177" t="s">
        <v>853</v>
      </c>
      <c r="B150" s="178" t="s">
        <v>31</v>
      </c>
      <c r="C150" s="178" t="s">
        <v>77</v>
      </c>
      <c r="D150" s="178" t="s">
        <v>327</v>
      </c>
      <c r="E150" s="178" t="s">
        <v>328</v>
      </c>
      <c r="F150" s="179" t="s">
        <v>204</v>
      </c>
      <c r="G150" s="177" t="s">
        <v>12</v>
      </c>
      <c r="H150" s="177">
        <v>1</v>
      </c>
      <c r="I150" s="177" t="s">
        <v>675</v>
      </c>
      <c r="J150" s="270"/>
      <c r="K150" s="177" t="s">
        <v>431</v>
      </c>
      <c r="L150" s="177"/>
      <c r="M150" s="177"/>
      <c r="N150" s="177"/>
      <c r="O150" s="177" t="s">
        <v>654</v>
      </c>
    </row>
    <row r="151" spans="1:15" ht="15.95" customHeight="1" x14ac:dyDescent="0.25">
      <c r="A151" s="177" t="s">
        <v>854</v>
      </c>
      <c r="B151" s="178" t="s">
        <v>31</v>
      </c>
      <c r="C151" s="178" t="s">
        <v>78</v>
      </c>
      <c r="D151" s="178" t="s">
        <v>106</v>
      </c>
      <c r="E151" s="178" t="s">
        <v>323</v>
      </c>
      <c r="F151" s="179" t="s">
        <v>204</v>
      </c>
      <c r="G151" s="177" t="s">
        <v>8</v>
      </c>
      <c r="H151" s="177">
        <v>1</v>
      </c>
      <c r="I151" s="177" t="s">
        <v>469</v>
      </c>
      <c r="J151" s="270"/>
      <c r="K151" s="177" t="s">
        <v>431</v>
      </c>
      <c r="L151" s="177"/>
      <c r="M151" s="177"/>
      <c r="N151" s="177"/>
      <c r="O151" s="177" t="s">
        <v>655</v>
      </c>
    </row>
    <row r="152" spans="1:15" ht="15.95" customHeight="1" x14ac:dyDescent="0.25">
      <c r="A152" s="177" t="s">
        <v>855</v>
      </c>
      <c r="B152" s="178" t="s">
        <v>31</v>
      </c>
      <c r="C152" s="178" t="s">
        <v>78</v>
      </c>
      <c r="D152" s="178" t="s">
        <v>107</v>
      </c>
      <c r="E152" s="178" t="s">
        <v>324</v>
      </c>
      <c r="F152" s="179" t="s">
        <v>204</v>
      </c>
      <c r="G152" s="177" t="s">
        <v>8</v>
      </c>
      <c r="H152" s="177">
        <v>1</v>
      </c>
      <c r="I152" s="177" t="s">
        <v>470</v>
      </c>
      <c r="J152" s="270"/>
      <c r="K152" s="177" t="s">
        <v>431</v>
      </c>
      <c r="L152" s="177"/>
      <c r="M152" s="177"/>
      <c r="N152" s="177"/>
      <c r="O152" s="177" t="s">
        <v>656</v>
      </c>
    </row>
    <row r="153" spans="1:15" ht="15.95" customHeight="1" x14ac:dyDescent="0.25">
      <c r="A153" s="177" t="s">
        <v>856</v>
      </c>
      <c r="B153" s="178" t="s">
        <v>31</v>
      </c>
      <c r="C153" s="178" t="s">
        <v>79</v>
      </c>
      <c r="D153" s="178" t="s">
        <v>119</v>
      </c>
      <c r="E153" s="178" t="s">
        <v>325</v>
      </c>
      <c r="F153" s="179" t="s">
        <v>204</v>
      </c>
      <c r="G153" s="177" t="s">
        <v>8</v>
      </c>
      <c r="H153" s="177">
        <v>1</v>
      </c>
      <c r="I153" s="177" t="s">
        <v>472</v>
      </c>
      <c r="J153" s="270"/>
      <c r="K153" s="177" t="s">
        <v>431</v>
      </c>
      <c r="L153" s="177"/>
      <c r="M153" s="177"/>
      <c r="N153" s="177"/>
      <c r="O153" s="177" t="s">
        <v>657</v>
      </c>
    </row>
    <row r="154" spans="1:15" x14ac:dyDescent="0.25">
      <c r="A154" s="177" t="s">
        <v>857</v>
      </c>
      <c r="B154" s="178" t="s">
        <v>31</v>
      </c>
      <c r="C154" s="178" t="s">
        <v>79</v>
      </c>
      <c r="D154" s="178" t="s">
        <v>119</v>
      </c>
      <c r="E154" s="178" t="s">
        <v>374</v>
      </c>
      <c r="F154" s="179" t="s">
        <v>204</v>
      </c>
      <c r="G154" s="177" t="s">
        <v>10</v>
      </c>
      <c r="H154" s="177">
        <v>12</v>
      </c>
      <c r="I154" s="177" t="s">
        <v>472</v>
      </c>
      <c r="J154" s="270"/>
      <c r="K154" s="177" t="s">
        <v>431</v>
      </c>
      <c r="L154" s="177"/>
      <c r="M154" s="177"/>
      <c r="N154" s="177"/>
      <c r="O154" s="177" t="s">
        <v>658</v>
      </c>
    </row>
    <row r="155" spans="1:15" ht="30" x14ac:dyDescent="0.25">
      <c r="A155" s="177" t="s">
        <v>858</v>
      </c>
      <c r="B155" s="178" t="s">
        <v>31</v>
      </c>
      <c r="C155" s="178" t="s">
        <v>79</v>
      </c>
      <c r="D155" s="178" t="s">
        <v>119</v>
      </c>
      <c r="E155" s="178" t="s">
        <v>660</v>
      </c>
      <c r="F155" s="179" t="s">
        <v>204</v>
      </c>
      <c r="G155" s="177" t="s">
        <v>11</v>
      </c>
      <c r="H155" s="177">
        <v>4</v>
      </c>
      <c r="I155" s="177" t="s">
        <v>472</v>
      </c>
      <c r="J155" s="270"/>
      <c r="K155" s="177" t="s">
        <v>454</v>
      </c>
      <c r="L155" s="177"/>
      <c r="M155" s="177"/>
      <c r="N155" s="177"/>
      <c r="O155" s="177" t="s">
        <v>659</v>
      </c>
    </row>
    <row r="156" spans="1:15" ht="30" hidden="1" x14ac:dyDescent="0.25">
      <c r="A156" s="177" t="s">
        <v>859</v>
      </c>
      <c r="B156" s="178" t="s">
        <v>31</v>
      </c>
      <c r="C156" s="178" t="s">
        <v>80</v>
      </c>
      <c r="D156" s="178" t="s">
        <v>19</v>
      </c>
      <c r="E156" s="178" t="s">
        <v>329</v>
      </c>
      <c r="F156" s="179" t="s">
        <v>217</v>
      </c>
      <c r="G156" s="177" t="s">
        <v>35</v>
      </c>
      <c r="H156" s="177">
        <f>1/5</f>
        <v>0.2</v>
      </c>
      <c r="I156" s="177" t="s">
        <v>19</v>
      </c>
      <c r="J156" s="201"/>
      <c r="K156" s="177" t="s">
        <v>431</v>
      </c>
      <c r="L156" s="177"/>
      <c r="M156" s="177"/>
      <c r="N156" s="177"/>
      <c r="O156" s="177" t="s">
        <v>574</v>
      </c>
    </row>
    <row r="157" spans="1:15" ht="15.95" customHeight="1" x14ac:dyDescent="0.25">
      <c r="A157" s="177" t="s">
        <v>756</v>
      </c>
      <c r="B157" s="178" t="s">
        <v>32</v>
      </c>
      <c r="C157" s="178" t="s">
        <v>357</v>
      </c>
      <c r="D157" s="178" t="s">
        <v>109</v>
      </c>
      <c r="E157" s="178" t="s">
        <v>330</v>
      </c>
      <c r="F157" s="179" t="s">
        <v>204</v>
      </c>
      <c r="G157" s="177" t="s">
        <v>8</v>
      </c>
      <c r="H157" s="177">
        <v>1</v>
      </c>
      <c r="I157" s="177" t="s">
        <v>473</v>
      </c>
      <c r="J157" s="270"/>
      <c r="K157" s="177" t="s">
        <v>431</v>
      </c>
      <c r="L157" s="177"/>
      <c r="M157" s="177"/>
      <c r="N157" s="177"/>
      <c r="O157" s="177" t="s">
        <v>661</v>
      </c>
    </row>
    <row r="158" spans="1:15" x14ac:dyDescent="0.25">
      <c r="A158" s="177" t="s">
        <v>757</v>
      </c>
      <c r="B158" s="178" t="s">
        <v>32</v>
      </c>
      <c r="C158" s="178" t="s">
        <v>357</v>
      </c>
      <c r="D158" s="178" t="s">
        <v>111</v>
      </c>
      <c r="E158" s="178" t="s">
        <v>356</v>
      </c>
      <c r="F158" s="179" t="s">
        <v>204</v>
      </c>
      <c r="G158" s="177" t="s">
        <v>12</v>
      </c>
      <c r="H158" s="177">
        <v>1</v>
      </c>
      <c r="I158" s="177" t="s">
        <v>466</v>
      </c>
      <c r="J158" s="270"/>
      <c r="K158" s="177" t="s">
        <v>431</v>
      </c>
      <c r="L158" s="177"/>
      <c r="M158" s="177"/>
      <c r="N158" s="177"/>
      <c r="O158" s="177" t="s">
        <v>662</v>
      </c>
    </row>
    <row r="159" spans="1:15" ht="45" hidden="1" x14ac:dyDescent="0.25">
      <c r="A159" s="177" t="s">
        <v>761</v>
      </c>
      <c r="B159" s="178" t="s">
        <v>32</v>
      </c>
      <c r="C159" s="178" t="s">
        <v>357</v>
      </c>
      <c r="D159" s="178" t="s">
        <v>109</v>
      </c>
      <c r="E159" s="178" t="s">
        <v>354</v>
      </c>
      <c r="F159" s="179" t="s">
        <v>217</v>
      </c>
      <c r="G159" s="177" t="s">
        <v>132</v>
      </c>
      <c r="H159" s="177">
        <f>1/10</f>
        <v>0.1</v>
      </c>
      <c r="I159" s="177" t="s">
        <v>473</v>
      </c>
      <c r="J159" s="201"/>
      <c r="K159" s="177" t="s">
        <v>433</v>
      </c>
      <c r="L159" s="177"/>
      <c r="M159" s="177"/>
      <c r="N159" s="177"/>
      <c r="O159" s="177" t="s">
        <v>663</v>
      </c>
    </row>
    <row r="160" spans="1:15" ht="30" hidden="1" x14ac:dyDescent="0.25">
      <c r="A160" s="177" t="s">
        <v>762</v>
      </c>
      <c r="B160" s="178" t="s">
        <v>32</v>
      </c>
      <c r="C160" s="178" t="s">
        <v>357</v>
      </c>
      <c r="D160" s="178" t="s">
        <v>109</v>
      </c>
      <c r="E160" s="178" t="s">
        <v>353</v>
      </c>
      <c r="F160" s="179" t="s">
        <v>217</v>
      </c>
      <c r="G160" s="177" t="s">
        <v>132</v>
      </c>
      <c r="H160" s="177">
        <f>1/10</f>
        <v>0.1</v>
      </c>
      <c r="I160" s="177" t="s">
        <v>473</v>
      </c>
      <c r="J160" s="201"/>
      <c r="K160" s="177" t="s">
        <v>431</v>
      </c>
      <c r="L160" s="177"/>
      <c r="M160" s="177"/>
      <c r="N160" s="177"/>
      <c r="O160" s="177" t="s">
        <v>664</v>
      </c>
    </row>
    <row r="161" spans="1:15" ht="30" hidden="1" x14ac:dyDescent="0.25">
      <c r="A161" s="177" t="s">
        <v>763</v>
      </c>
      <c r="B161" s="178" t="s">
        <v>32</v>
      </c>
      <c r="C161" s="178" t="s">
        <v>357</v>
      </c>
      <c r="D161" s="178" t="s">
        <v>109</v>
      </c>
      <c r="E161" s="178" t="s">
        <v>351</v>
      </c>
      <c r="F161" s="179" t="s">
        <v>217</v>
      </c>
      <c r="G161" s="177" t="s">
        <v>132</v>
      </c>
      <c r="H161" s="177">
        <f>1/10</f>
        <v>0.1</v>
      </c>
      <c r="I161" s="177" t="s">
        <v>473</v>
      </c>
      <c r="J161" s="201"/>
      <c r="K161" s="177" t="s">
        <v>431</v>
      </c>
      <c r="L161" s="177"/>
      <c r="M161" s="177"/>
      <c r="N161" s="177"/>
      <c r="O161" s="177" t="s">
        <v>665</v>
      </c>
    </row>
    <row r="162" spans="1:15" ht="30" hidden="1" x14ac:dyDescent="0.25">
      <c r="A162" s="177" t="s">
        <v>764</v>
      </c>
      <c r="B162" s="178" t="s">
        <v>32</v>
      </c>
      <c r="C162" s="178" t="s">
        <v>357</v>
      </c>
      <c r="D162" s="178" t="s">
        <v>109</v>
      </c>
      <c r="E162" s="178" t="s">
        <v>352</v>
      </c>
      <c r="F162" s="179" t="s">
        <v>217</v>
      </c>
      <c r="G162" s="177" t="s">
        <v>132</v>
      </c>
      <c r="H162" s="177">
        <f>1/10</f>
        <v>0.1</v>
      </c>
      <c r="I162" s="177" t="s">
        <v>473</v>
      </c>
      <c r="J162" s="201"/>
      <c r="K162" s="177" t="s">
        <v>431</v>
      </c>
      <c r="L162" s="177"/>
      <c r="M162" s="177"/>
      <c r="N162" s="177"/>
      <c r="O162" s="177" t="s">
        <v>666</v>
      </c>
    </row>
    <row r="163" spans="1:15" ht="30" x14ac:dyDescent="0.25">
      <c r="A163" s="177" t="s">
        <v>397</v>
      </c>
      <c r="B163" s="178" t="s">
        <v>32</v>
      </c>
      <c r="C163" s="178" t="s">
        <v>357</v>
      </c>
      <c r="D163" s="178" t="s">
        <v>109</v>
      </c>
      <c r="E163" s="178" t="s">
        <v>348</v>
      </c>
      <c r="F163" s="179" t="s">
        <v>204</v>
      </c>
      <c r="G163" s="177" t="s">
        <v>8</v>
      </c>
      <c r="H163" s="177">
        <v>1</v>
      </c>
      <c r="I163" s="177" t="s">
        <v>473</v>
      </c>
      <c r="J163" s="270"/>
      <c r="K163" s="177" t="s">
        <v>431</v>
      </c>
      <c r="L163" s="177"/>
      <c r="M163" s="177"/>
      <c r="N163" s="177"/>
      <c r="O163" s="177" t="s">
        <v>667</v>
      </c>
    </row>
    <row r="164" spans="1:15" ht="30" hidden="1" x14ac:dyDescent="0.25">
      <c r="A164" s="177" t="s">
        <v>398</v>
      </c>
      <c r="B164" s="178" t="s">
        <v>32</v>
      </c>
      <c r="C164" s="178" t="s">
        <v>357</v>
      </c>
      <c r="D164" s="178" t="s">
        <v>109</v>
      </c>
      <c r="E164" s="178" t="s">
        <v>350</v>
      </c>
      <c r="F164" s="179" t="s">
        <v>217</v>
      </c>
      <c r="G164" s="177" t="s">
        <v>286</v>
      </c>
      <c r="H164" s="177">
        <f>1/20</f>
        <v>0.05</v>
      </c>
      <c r="I164" s="177" t="s">
        <v>473</v>
      </c>
      <c r="J164" s="201"/>
      <c r="K164" s="177" t="s">
        <v>431</v>
      </c>
      <c r="L164" s="177"/>
      <c r="M164" s="177"/>
      <c r="N164" s="177"/>
      <c r="O164" s="177" t="s">
        <v>682</v>
      </c>
    </row>
    <row r="165" spans="1:15" ht="30" x14ac:dyDescent="0.25">
      <c r="A165" s="177" t="s">
        <v>399</v>
      </c>
      <c r="B165" s="178" t="s">
        <v>32</v>
      </c>
      <c r="C165" s="178" t="s">
        <v>357</v>
      </c>
      <c r="D165" s="178" t="s">
        <v>674</v>
      </c>
      <c r="E165" s="178" t="s">
        <v>331</v>
      </c>
      <c r="F165" s="179" t="s">
        <v>204</v>
      </c>
      <c r="G165" s="177" t="s">
        <v>8</v>
      </c>
      <c r="H165" s="177">
        <v>1</v>
      </c>
      <c r="I165" s="177" t="s">
        <v>110</v>
      </c>
      <c r="J165" s="270"/>
      <c r="K165" s="177" t="s">
        <v>431</v>
      </c>
      <c r="L165" s="177"/>
      <c r="M165" s="177"/>
      <c r="N165" s="177"/>
      <c r="O165" s="177" t="s">
        <v>668</v>
      </c>
    </row>
    <row r="166" spans="1:15" ht="15.95" customHeight="1" x14ac:dyDescent="0.25">
      <c r="A166" s="177" t="s">
        <v>400</v>
      </c>
      <c r="B166" s="178" t="s">
        <v>32</v>
      </c>
      <c r="C166" s="178" t="s">
        <v>357</v>
      </c>
      <c r="D166" s="178" t="s">
        <v>111</v>
      </c>
      <c r="E166" s="178" t="s">
        <v>673</v>
      </c>
      <c r="F166" s="179" t="s">
        <v>204</v>
      </c>
      <c r="G166" s="177" t="s">
        <v>8</v>
      </c>
      <c r="H166" s="177">
        <v>1</v>
      </c>
      <c r="I166" s="177" t="s">
        <v>466</v>
      </c>
      <c r="J166" s="270"/>
      <c r="K166" s="177" t="s">
        <v>431</v>
      </c>
      <c r="L166" s="177"/>
      <c r="M166" s="177"/>
      <c r="N166" s="177"/>
      <c r="O166" s="177" t="s">
        <v>669</v>
      </c>
    </row>
    <row r="167" spans="1:15" ht="30" hidden="1" x14ac:dyDescent="0.25">
      <c r="A167" s="177" t="s">
        <v>874</v>
      </c>
      <c r="B167" s="178" t="s">
        <v>32</v>
      </c>
      <c r="C167" s="178" t="s">
        <v>358</v>
      </c>
      <c r="D167" s="178" t="s">
        <v>19</v>
      </c>
      <c r="E167" s="178" t="s">
        <v>333</v>
      </c>
      <c r="F167" s="179" t="s">
        <v>217</v>
      </c>
      <c r="G167" s="177" t="s">
        <v>35</v>
      </c>
      <c r="H167" s="177">
        <f>1/5</f>
        <v>0.2</v>
      </c>
      <c r="I167" s="177" t="s">
        <v>19</v>
      </c>
      <c r="J167" s="201"/>
      <c r="K167" s="177" t="s">
        <v>431</v>
      </c>
      <c r="L167" s="177"/>
      <c r="M167" s="177"/>
      <c r="N167" s="177"/>
      <c r="O167" s="177" t="s">
        <v>574</v>
      </c>
    </row>
    <row r="168" spans="1:15" ht="15.95" customHeight="1" x14ac:dyDescent="0.25">
      <c r="A168" s="177" t="s">
        <v>875</v>
      </c>
      <c r="B168" s="178" t="s">
        <v>81</v>
      </c>
      <c r="C168" s="178" t="s">
        <v>120</v>
      </c>
      <c r="D168" s="178" t="s">
        <v>33</v>
      </c>
      <c r="E168" s="178" t="s">
        <v>334</v>
      </c>
      <c r="F168" s="179" t="s">
        <v>204</v>
      </c>
      <c r="G168" s="177" t="s">
        <v>8</v>
      </c>
      <c r="H168" s="177">
        <v>1</v>
      </c>
      <c r="I168" s="177" t="s">
        <v>33</v>
      </c>
      <c r="J168" s="270"/>
      <c r="K168" s="177" t="s">
        <v>431</v>
      </c>
      <c r="L168" s="177"/>
      <c r="M168" s="177"/>
      <c r="N168" s="177"/>
      <c r="O168" s="177" t="s">
        <v>670</v>
      </c>
    </row>
    <row r="169" spans="1:15" ht="15.95" customHeight="1" x14ac:dyDescent="0.25">
      <c r="A169" s="177" t="s">
        <v>876</v>
      </c>
      <c r="B169" s="178" t="s">
        <v>81</v>
      </c>
      <c r="C169" s="178" t="s">
        <v>120</v>
      </c>
      <c r="D169" s="178" t="s">
        <v>112</v>
      </c>
      <c r="E169" s="178" t="s">
        <v>335</v>
      </c>
      <c r="F169" s="179" t="s">
        <v>204</v>
      </c>
      <c r="G169" s="177" t="s">
        <v>8</v>
      </c>
      <c r="H169" s="177">
        <v>0</v>
      </c>
      <c r="I169" s="177" t="s">
        <v>112</v>
      </c>
      <c r="J169" s="270"/>
      <c r="K169" s="177" t="s">
        <v>431</v>
      </c>
      <c r="L169" s="177"/>
      <c r="M169" s="177"/>
      <c r="N169" s="177"/>
      <c r="O169" s="177" t="s">
        <v>671</v>
      </c>
    </row>
    <row r="170" spans="1:15" ht="15.95" customHeight="1" x14ac:dyDescent="0.25">
      <c r="A170" s="177" t="s">
        <v>877</v>
      </c>
      <c r="B170" s="178" t="s">
        <v>81</v>
      </c>
      <c r="C170" s="178" t="s">
        <v>120</v>
      </c>
      <c r="D170" s="178" t="s">
        <v>34</v>
      </c>
      <c r="E170" s="178" t="s">
        <v>336</v>
      </c>
      <c r="F170" s="179" t="s">
        <v>204</v>
      </c>
      <c r="G170" s="177" t="s">
        <v>8</v>
      </c>
      <c r="H170" s="177">
        <v>1</v>
      </c>
      <c r="I170" s="177" t="s">
        <v>34</v>
      </c>
      <c r="J170" s="270"/>
      <c r="K170" s="177" t="s">
        <v>431</v>
      </c>
      <c r="L170" s="177"/>
      <c r="M170" s="177"/>
      <c r="N170" s="177"/>
      <c r="O170" s="177" t="s">
        <v>672</v>
      </c>
    </row>
    <row r="171" spans="1:15" ht="30" hidden="1" x14ac:dyDescent="0.25">
      <c r="A171" s="177" t="s">
        <v>878</v>
      </c>
      <c r="B171" s="178" t="s">
        <v>81</v>
      </c>
      <c r="C171" s="178" t="s">
        <v>121</v>
      </c>
      <c r="D171" s="178" t="s">
        <v>19</v>
      </c>
      <c r="E171" s="178" t="s">
        <v>332</v>
      </c>
      <c r="F171" s="179" t="s">
        <v>217</v>
      </c>
      <c r="G171" s="177" t="s">
        <v>35</v>
      </c>
      <c r="H171" s="177">
        <v>0</v>
      </c>
      <c r="I171" s="177" t="s">
        <v>19</v>
      </c>
      <c r="J171" s="201"/>
      <c r="K171" s="177" t="s">
        <v>431</v>
      </c>
      <c r="L171" s="177"/>
      <c r="M171" s="177"/>
      <c r="N171" s="177"/>
      <c r="O171" s="177" t="s">
        <v>574</v>
      </c>
    </row>
  </sheetData>
  <dataConsolidate/>
  <phoneticPr fontId="18"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EAB1-1D70-46AD-BF84-31394EFD29AF}">
  <sheetPr>
    <tabColor theme="8" tint="0.59999389629810485"/>
  </sheetPr>
  <dimension ref="A5:M325"/>
  <sheetViews>
    <sheetView zoomScale="75" zoomScaleNormal="75" workbookViewId="0">
      <selection activeCell="B29" sqref="B29"/>
    </sheetView>
  </sheetViews>
  <sheetFormatPr defaultColWidth="8.85546875" defaultRowHeight="15" x14ac:dyDescent="0.25"/>
  <cols>
    <col min="1" max="1" width="23" style="2" customWidth="1"/>
    <col min="2" max="2" width="28.28515625" style="2" customWidth="1"/>
    <col min="3" max="3" width="83" style="2" bestFit="1" customWidth="1"/>
    <col min="4" max="4" width="14.85546875" style="2" bestFit="1" customWidth="1"/>
    <col min="5" max="5" width="17" style="2" bestFit="1" customWidth="1"/>
    <col min="6" max="6" width="6.28515625" style="2" bestFit="1" customWidth="1"/>
    <col min="7" max="7" width="17" style="2" bestFit="1" customWidth="1"/>
    <col min="8" max="8" width="6.28515625" style="2" bestFit="1" customWidth="1"/>
    <col min="9" max="9" width="17" style="2" bestFit="1" customWidth="1"/>
    <col min="10" max="10" width="6.28515625" style="2" bestFit="1" customWidth="1"/>
    <col min="11" max="11" width="17" style="2" bestFit="1" customWidth="1"/>
    <col min="12" max="12" width="6.28515625" style="2" bestFit="1" customWidth="1"/>
    <col min="13" max="13" width="18.5703125" style="2" bestFit="1" customWidth="1"/>
    <col min="14" max="14" width="6.28515625" style="2" bestFit="1" customWidth="1"/>
    <col min="15" max="17" width="9.42578125" style="2" bestFit="1" customWidth="1"/>
    <col min="18" max="18" width="9.28515625" style="2" customWidth="1"/>
    <col min="19" max="42" width="9.42578125" style="2" bestFit="1" customWidth="1"/>
    <col min="43" max="43" width="10.42578125" style="2" bestFit="1" customWidth="1"/>
    <col min="44" max="51" width="9.42578125" style="2" bestFit="1" customWidth="1"/>
    <col min="52" max="57" width="8.85546875" style="2"/>
    <col min="58" max="58" width="7.28515625" style="2" bestFit="1" customWidth="1"/>
    <col min="59" max="59" width="11.28515625" style="2" bestFit="1" customWidth="1"/>
    <col min="60" max="16384" width="8.85546875" style="2"/>
  </cols>
  <sheetData>
    <row r="5" spans="1:7" ht="15" customHeight="1" x14ac:dyDescent="0.25"/>
    <row r="6" spans="1:7" ht="15" customHeight="1" thickBot="1" x14ac:dyDescent="0.3"/>
    <row r="7" spans="1:7" ht="15" customHeight="1" x14ac:dyDescent="0.25">
      <c r="A7" s="160" t="s">
        <v>501</v>
      </c>
      <c r="B7" s="161">
        <f>'TABLE OF CONTENTS'!K13</f>
        <v>0</v>
      </c>
    </row>
    <row r="8" spans="1:7" ht="15" customHeight="1" x14ac:dyDescent="0.25">
      <c r="A8" s="162" t="s">
        <v>502</v>
      </c>
      <c r="B8" s="163">
        <f>'TABLE OF CONTENTS'!K14</f>
        <v>0</v>
      </c>
    </row>
    <row r="9" spans="1:7" ht="15" customHeight="1" x14ac:dyDescent="0.25">
      <c r="A9" s="162" t="s">
        <v>506</v>
      </c>
      <c r="B9" s="163">
        <f>'TABLE OF CONTENTS'!K15</f>
        <v>0</v>
      </c>
    </row>
    <row r="10" spans="1:7" ht="15" customHeight="1" thickBot="1" x14ac:dyDescent="0.3">
      <c r="A10" s="164" t="s">
        <v>520</v>
      </c>
      <c r="B10" s="165">
        <f>'TABLE OF CONTENTS'!K16</f>
        <v>0</v>
      </c>
    </row>
    <row r="11" spans="1:7" ht="15" customHeight="1" x14ac:dyDescent="0.25">
      <c r="A11" s="50"/>
    </row>
    <row r="12" spans="1:7" ht="15.75" x14ac:dyDescent="0.25">
      <c r="A12" s="100"/>
      <c r="B12" s="78"/>
    </row>
    <row r="13" spans="1:7" ht="15.75" x14ac:dyDescent="0.25">
      <c r="A13" s="220" t="s">
        <v>527</v>
      </c>
      <c r="B13" s="220"/>
      <c r="C13" s="220"/>
      <c r="D13" s="220"/>
      <c r="E13" s="220"/>
      <c r="F13" s="220"/>
      <c r="G13" s="48"/>
    </row>
    <row r="15" spans="1:7" ht="20.25" hidden="1" customHeight="1" x14ac:dyDescent="0.25"/>
    <row r="16" spans="1:7" ht="15" hidden="1" customHeight="1" x14ac:dyDescent="0.25">
      <c r="A16" s="46" t="s">
        <v>500</v>
      </c>
      <c r="B16" s="2" t="s">
        <v>1011</v>
      </c>
    </row>
    <row r="17" spans="1:13" ht="21" hidden="1" customHeight="1" x14ac:dyDescent="0.25"/>
    <row r="18" spans="1:13" x14ac:dyDescent="0.25">
      <c r="A18" s="46" t="s">
        <v>16</v>
      </c>
      <c r="B18" s="46" t="s">
        <v>0</v>
      </c>
      <c r="C18" s="46" t="s">
        <v>4</v>
      </c>
      <c r="D18" s="46" t="s">
        <v>7</v>
      </c>
      <c r="E18"/>
      <c r="G18"/>
      <c r="I18"/>
      <c r="K18"/>
      <c r="M18"/>
    </row>
    <row r="19" spans="1:13" x14ac:dyDescent="0.25">
      <c r="A19"/>
      <c r="B19"/>
      <c r="C19"/>
      <c r="D19"/>
      <c r="E19"/>
      <c r="G19"/>
      <c r="I19"/>
      <c r="K19"/>
      <c r="M19"/>
    </row>
    <row r="20" spans="1:13" x14ac:dyDescent="0.25">
      <c r="A20"/>
      <c r="B20"/>
      <c r="C20"/>
      <c r="D20"/>
      <c r="E20"/>
      <c r="G20"/>
      <c r="I20"/>
      <c r="K20"/>
      <c r="M20"/>
    </row>
    <row r="21" spans="1:13" x14ac:dyDescent="0.25">
      <c r="A21"/>
      <c r="B21"/>
      <c r="C21"/>
      <c r="D21"/>
      <c r="E21"/>
      <c r="G21"/>
      <c r="I21"/>
      <c r="K21"/>
    </row>
    <row r="22" spans="1:13" x14ac:dyDescent="0.25">
      <c r="A22"/>
      <c r="B22"/>
      <c r="C22"/>
      <c r="D22"/>
      <c r="E22"/>
      <c r="G22"/>
      <c r="I22"/>
      <c r="K22"/>
    </row>
    <row r="23" spans="1:13" x14ac:dyDescent="0.25">
      <c r="A23"/>
      <c r="B23"/>
      <c r="C23"/>
      <c r="D23"/>
      <c r="E23"/>
      <c r="G23"/>
      <c r="I23"/>
      <c r="K23"/>
    </row>
    <row r="24" spans="1:13" x14ac:dyDescent="0.25">
      <c r="A24"/>
      <c r="B24"/>
      <c r="C24"/>
      <c r="D24"/>
      <c r="E24"/>
      <c r="G24"/>
      <c r="I24"/>
      <c r="K24"/>
    </row>
    <row r="25" spans="1:13" x14ac:dyDescent="0.25">
      <c r="A25"/>
      <c r="B25"/>
      <c r="C25"/>
      <c r="D25"/>
      <c r="E25"/>
      <c r="G25"/>
      <c r="I25"/>
      <c r="K25"/>
    </row>
    <row r="26" spans="1:13" x14ac:dyDescent="0.25">
      <c r="A26"/>
      <c r="B26"/>
      <c r="C26"/>
      <c r="D26"/>
      <c r="E26"/>
      <c r="G26"/>
      <c r="I26"/>
      <c r="K26"/>
    </row>
    <row r="27" spans="1:13" x14ac:dyDescent="0.25">
      <c r="A27"/>
      <c r="B27"/>
      <c r="C27"/>
      <c r="D27"/>
      <c r="E27"/>
      <c r="G27"/>
      <c r="I27"/>
      <c r="K27"/>
    </row>
    <row r="28" spans="1:13" x14ac:dyDescent="0.25">
      <c r="A28"/>
      <c r="B28"/>
      <c r="C28"/>
      <c r="D28"/>
      <c r="E28"/>
      <c r="G28"/>
      <c r="K28"/>
    </row>
    <row r="29" spans="1:13" x14ac:dyDescent="0.25">
      <c r="A29"/>
      <c r="B29"/>
      <c r="C29"/>
      <c r="D29"/>
      <c r="E29"/>
      <c r="G29"/>
      <c r="K29"/>
    </row>
    <row r="30" spans="1:13" x14ac:dyDescent="0.25">
      <c r="A30"/>
      <c r="B30"/>
      <c r="C30"/>
      <c r="D30"/>
      <c r="E30"/>
      <c r="G30"/>
      <c r="K30"/>
    </row>
    <row r="31" spans="1:13" x14ac:dyDescent="0.25">
      <c r="A31"/>
      <c r="B31"/>
      <c r="C31"/>
      <c r="D31"/>
      <c r="E31"/>
      <c r="G31"/>
      <c r="K31"/>
    </row>
    <row r="32" spans="1:13" x14ac:dyDescent="0.25">
      <c r="A32"/>
      <c r="B32"/>
      <c r="C32"/>
      <c r="D32"/>
      <c r="E32"/>
      <c r="G32"/>
      <c r="K32"/>
    </row>
    <row r="33" spans="1:11" x14ac:dyDescent="0.25">
      <c r="A33"/>
      <c r="B33"/>
      <c r="C33"/>
      <c r="D33"/>
      <c r="E33"/>
      <c r="G33"/>
      <c r="K33"/>
    </row>
    <row r="34" spans="1:11" x14ac:dyDescent="0.25">
      <c r="A34"/>
      <c r="B34"/>
      <c r="C34"/>
      <c r="D34"/>
      <c r="E34"/>
      <c r="G34"/>
      <c r="K34"/>
    </row>
    <row r="35" spans="1:11" x14ac:dyDescent="0.25">
      <c r="A35"/>
      <c r="B35"/>
      <c r="C35"/>
      <c r="D35"/>
      <c r="E35"/>
      <c r="G35"/>
    </row>
    <row r="36" spans="1:11" x14ac:dyDescent="0.25">
      <c r="A36"/>
      <c r="B36"/>
      <c r="C36"/>
      <c r="D36"/>
      <c r="E36"/>
      <c r="G36"/>
    </row>
    <row r="37" spans="1:11" x14ac:dyDescent="0.25">
      <c r="A37"/>
      <c r="B37"/>
      <c r="C37"/>
      <c r="D37"/>
      <c r="E37"/>
      <c r="G37"/>
    </row>
    <row r="38" spans="1:11" x14ac:dyDescent="0.25">
      <c r="A38"/>
      <c r="B38"/>
      <c r="C38"/>
      <c r="D38"/>
      <c r="G38"/>
    </row>
    <row r="39" spans="1:11" x14ac:dyDescent="0.25">
      <c r="A39"/>
      <c r="B39"/>
      <c r="C39"/>
      <c r="D39"/>
      <c r="G39"/>
    </row>
    <row r="40" spans="1:11" x14ac:dyDescent="0.25">
      <c r="A40"/>
      <c r="B40"/>
      <c r="C40"/>
      <c r="D40"/>
      <c r="G40"/>
    </row>
    <row r="41" spans="1:11" x14ac:dyDescent="0.25">
      <c r="A41"/>
      <c r="B41"/>
      <c r="C41"/>
      <c r="D41"/>
      <c r="G41"/>
    </row>
    <row r="42" spans="1:11" x14ac:dyDescent="0.25">
      <c r="A42"/>
      <c r="B42"/>
      <c r="C42"/>
      <c r="D42"/>
      <c r="G42"/>
    </row>
    <row r="43" spans="1:11" x14ac:dyDescent="0.25">
      <c r="A43"/>
      <c r="B43"/>
      <c r="C43"/>
      <c r="D43"/>
      <c r="G43"/>
    </row>
    <row r="44" spans="1:11" x14ac:dyDescent="0.25">
      <c r="A44"/>
      <c r="B44"/>
      <c r="C44"/>
      <c r="D44"/>
      <c r="G44"/>
    </row>
    <row r="45" spans="1:11" x14ac:dyDescent="0.25">
      <c r="A45"/>
      <c r="B45"/>
      <c r="C45"/>
      <c r="D45"/>
      <c r="G45"/>
    </row>
    <row r="46" spans="1:11" x14ac:dyDescent="0.25">
      <c r="A46"/>
      <c r="B46"/>
      <c r="C46"/>
      <c r="D46"/>
      <c r="G46"/>
    </row>
    <row r="47" spans="1:11" x14ac:dyDescent="0.25">
      <c r="A47"/>
      <c r="B47"/>
      <c r="C47"/>
      <c r="D47"/>
      <c r="G47"/>
    </row>
    <row r="48" spans="1:11" x14ac:dyDescent="0.25">
      <c r="A48"/>
      <c r="B48"/>
      <c r="C48"/>
      <c r="D48"/>
      <c r="G48"/>
    </row>
    <row r="49" spans="1:7" x14ac:dyDescent="0.25">
      <c r="A49"/>
      <c r="B49"/>
      <c r="C49"/>
      <c r="D49"/>
      <c r="G49"/>
    </row>
    <row r="50" spans="1:7" x14ac:dyDescent="0.25">
      <c r="A50"/>
      <c r="B50"/>
      <c r="C50"/>
      <c r="D50"/>
      <c r="G50"/>
    </row>
    <row r="51" spans="1:7" x14ac:dyDescent="0.25">
      <c r="A51"/>
      <c r="B51"/>
      <c r="C51"/>
      <c r="D51"/>
    </row>
    <row r="52" spans="1:7" x14ac:dyDescent="0.25">
      <c r="A52"/>
      <c r="B52"/>
      <c r="C52"/>
      <c r="D52"/>
    </row>
    <row r="53" spans="1:7" x14ac:dyDescent="0.25">
      <c r="A53"/>
      <c r="B53"/>
      <c r="C53"/>
      <c r="D53"/>
    </row>
    <row r="54" spans="1:7" x14ac:dyDescent="0.25">
      <c r="A54"/>
      <c r="B54"/>
      <c r="C54"/>
      <c r="D54"/>
    </row>
    <row r="55" spans="1:7" x14ac:dyDescent="0.25">
      <c r="A55"/>
      <c r="B55"/>
      <c r="C55"/>
      <c r="D55"/>
    </row>
    <row r="56" spans="1:7" x14ac:dyDescent="0.25">
      <c r="A56"/>
      <c r="B56"/>
      <c r="C56"/>
      <c r="D56"/>
    </row>
    <row r="57" spans="1:7" x14ac:dyDescent="0.25">
      <c r="A57"/>
      <c r="B57"/>
      <c r="C57"/>
      <c r="D57"/>
    </row>
    <row r="58" spans="1:7" x14ac:dyDescent="0.25">
      <c r="A58"/>
      <c r="B58"/>
      <c r="C58"/>
      <c r="D58"/>
    </row>
    <row r="59" spans="1:7" x14ac:dyDescent="0.25">
      <c r="A59"/>
      <c r="B59"/>
      <c r="C59"/>
      <c r="D59"/>
    </row>
    <row r="60" spans="1:7" x14ac:dyDescent="0.25">
      <c r="A60"/>
      <c r="B60"/>
      <c r="C60"/>
      <c r="D60"/>
    </row>
    <row r="61" spans="1:7" x14ac:dyDescent="0.25">
      <c r="A61"/>
      <c r="B61"/>
      <c r="C61"/>
      <c r="D61"/>
    </row>
    <row r="62" spans="1:7" x14ac:dyDescent="0.25">
      <c r="A62"/>
      <c r="B62"/>
      <c r="C62"/>
      <c r="D62"/>
    </row>
    <row r="63" spans="1:7" x14ac:dyDescent="0.25">
      <c r="A63"/>
      <c r="B63"/>
      <c r="C63"/>
      <c r="D63"/>
    </row>
    <row r="64" spans="1:7" x14ac:dyDescent="0.25">
      <c r="A64"/>
      <c r="B64"/>
      <c r="C64"/>
      <c r="D64"/>
    </row>
    <row r="65" spans="1:4" x14ac:dyDescent="0.25">
      <c r="A65"/>
      <c r="B65"/>
      <c r="C65"/>
      <c r="D65"/>
    </row>
    <row r="66" spans="1:4" x14ac:dyDescent="0.25">
      <c r="A66"/>
      <c r="B66"/>
      <c r="C66"/>
      <c r="D66"/>
    </row>
    <row r="67" spans="1:4" x14ac:dyDescent="0.25">
      <c r="A67"/>
      <c r="B67"/>
      <c r="C67"/>
      <c r="D67"/>
    </row>
    <row r="68" spans="1:4" x14ac:dyDescent="0.25">
      <c r="A68"/>
      <c r="B68"/>
      <c r="C68"/>
      <c r="D68"/>
    </row>
    <row r="69" spans="1:4" x14ac:dyDescent="0.25">
      <c r="A69"/>
      <c r="B69"/>
      <c r="C69"/>
      <c r="D69"/>
    </row>
    <row r="70" spans="1:4" x14ac:dyDescent="0.25">
      <c r="A70"/>
      <c r="B70"/>
      <c r="C70"/>
      <c r="D70"/>
    </row>
    <row r="71" spans="1:4" x14ac:dyDescent="0.25">
      <c r="A71"/>
      <c r="B71"/>
      <c r="C71"/>
      <c r="D71"/>
    </row>
    <row r="72" spans="1:4" x14ac:dyDescent="0.25">
      <c r="A72"/>
      <c r="B72"/>
      <c r="C72"/>
      <c r="D72"/>
    </row>
    <row r="73" spans="1:4" x14ac:dyDescent="0.25">
      <c r="A73"/>
      <c r="B73"/>
      <c r="C73"/>
      <c r="D73"/>
    </row>
    <row r="74" spans="1:4" x14ac:dyDescent="0.25">
      <c r="A74"/>
      <c r="B74"/>
      <c r="C74"/>
      <c r="D74"/>
    </row>
    <row r="75" spans="1:4" x14ac:dyDescent="0.25">
      <c r="A75"/>
      <c r="B75"/>
      <c r="C75"/>
      <c r="D75"/>
    </row>
    <row r="76" spans="1:4" x14ac:dyDescent="0.25">
      <c r="A76"/>
      <c r="B76"/>
      <c r="C76"/>
      <c r="D76"/>
    </row>
    <row r="77" spans="1:4" x14ac:dyDescent="0.25">
      <c r="A77"/>
      <c r="B77"/>
      <c r="C77"/>
      <c r="D77"/>
    </row>
    <row r="78" spans="1:4" x14ac:dyDescent="0.25">
      <c r="A78"/>
      <c r="B78"/>
      <c r="C78"/>
      <c r="D78"/>
    </row>
    <row r="79" spans="1:4" x14ac:dyDescent="0.25">
      <c r="A79"/>
      <c r="B79"/>
      <c r="C79"/>
      <c r="D79"/>
    </row>
    <row r="80" spans="1:4" x14ac:dyDescent="0.25">
      <c r="A80"/>
      <c r="B80"/>
      <c r="C80"/>
      <c r="D80"/>
    </row>
    <row r="81" spans="1:4" x14ac:dyDescent="0.25">
      <c r="A81"/>
      <c r="B81"/>
      <c r="C81"/>
      <c r="D81"/>
    </row>
    <row r="82" spans="1:4" x14ac:dyDescent="0.25">
      <c r="A82"/>
      <c r="B82"/>
      <c r="C82"/>
      <c r="D82"/>
    </row>
    <row r="83" spans="1:4" x14ac:dyDescent="0.25">
      <c r="A83"/>
      <c r="B83"/>
      <c r="C83"/>
      <c r="D83"/>
    </row>
    <row r="84" spans="1:4" x14ac:dyDescent="0.25">
      <c r="A84"/>
      <c r="B84"/>
      <c r="C84"/>
      <c r="D84"/>
    </row>
    <row r="85" spans="1:4" x14ac:dyDescent="0.25">
      <c r="A85"/>
      <c r="B85"/>
      <c r="C85"/>
      <c r="D85"/>
    </row>
    <row r="86" spans="1:4" x14ac:dyDescent="0.25">
      <c r="A86"/>
      <c r="B86"/>
      <c r="C86"/>
      <c r="D86"/>
    </row>
    <row r="87" spans="1:4" x14ac:dyDescent="0.25">
      <c r="A87"/>
      <c r="B87"/>
      <c r="C87"/>
      <c r="D87"/>
    </row>
    <row r="88" spans="1:4" x14ac:dyDescent="0.25">
      <c r="A88"/>
      <c r="B88"/>
      <c r="C88"/>
      <c r="D88"/>
    </row>
    <row r="89" spans="1:4" x14ac:dyDescent="0.25">
      <c r="A89"/>
      <c r="B89"/>
      <c r="C89"/>
      <c r="D89"/>
    </row>
    <row r="90" spans="1:4" x14ac:dyDescent="0.25">
      <c r="A90"/>
      <c r="B90"/>
      <c r="C90"/>
      <c r="D90"/>
    </row>
    <row r="91" spans="1:4" x14ac:dyDescent="0.25">
      <c r="A91"/>
      <c r="B91"/>
      <c r="C91"/>
      <c r="D91"/>
    </row>
    <row r="92" spans="1:4" x14ac:dyDescent="0.25">
      <c r="A92"/>
      <c r="B92"/>
      <c r="C92"/>
      <c r="D92"/>
    </row>
    <row r="93" spans="1:4" x14ac:dyDescent="0.25">
      <c r="A93"/>
      <c r="B93"/>
      <c r="C93"/>
      <c r="D93"/>
    </row>
    <row r="94" spans="1:4" x14ac:dyDescent="0.25">
      <c r="A94"/>
      <c r="B94"/>
      <c r="C94"/>
      <c r="D94"/>
    </row>
    <row r="95" spans="1:4" x14ac:dyDescent="0.25">
      <c r="A95"/>
      <c r="B95"/>
      <c r="C95"/>
      <c r="D95"/>
    </row>
    <row r="96" spans="1:4" x14ac:dyDescent="0.25">
      <c r="A96"/>
      <c r="B96"/>
      <c r="C96"/>
      <c r="D96"/>
    </row>
    <row r="97" spans="1:4" x14ac:dyDescent="0.25">
      <c r="A97"/>
      <c r="B97"/>
      <c r="C97"/>
      <c r="D97"/>
    </row>
    <row r="98" spans="1:4" x14ac:dyDescent="0.25">
      <c r="A98"/>
      <c r="B98"/>
      <c r="C98"/>
      <c r="D98"/>
    </row>
    <row r="99" spans="1:4" x14ac:dyDescent="0.25">
      <c r="A99"/>
      <c r="B99"/>
      <c r="C99"/>
      <c r="D99"/>
    </row>
    <row r="100" spans="1:4" x14ac:dyDescent="0.25">
      <c r="A100"/>
      <c r="B100"/>
      <c r="C100"/>
      <c r="D100"/>
    </row>
    <row r="101" spans="1:4" x14ac:dyDescent="0.25">
      <c r="A101"/>
      <c r="B101"/>
      <c r="C101"/>
      <c r="D101"/>
    </row>
    <row r="102" spans="1:4" x14ac:dyDescent="0.25">
      <c r="A102"/>
      <c r="B102"/>
      <c r="C102"/>
      <c r="D102"/>
    </row>
    <row r="103" spans="1:4" x14ac:dyDescent="0.25">
      <c r="A103"/>
      <c r="B103"/>
      <c r="C103"/>
      <c r="D103"/>
    </row>
    <row r="104" spans="1:4" x14ac:dyDescent="0.25">
      <c r="A104"/>
      <c r="B104"/>
      <c r="C104"/>
      <c r="D104"/>
    </row>
    <row r="105" spans="1:4" x14ac:dyDescent="0.25">
      <c r="A105"/>
      <c r="B105"/>
      <c r="C105"/>
      <c r="D105"/>
    </row>
    <row r="106" spans="1:4" x14ac:dyDescent="0.25">
      <c r="A106"/>
      <c r="B106"/>
      <c r="C106"/>
      <c r="D106"/>
    </row>
    <row r="107" spans="1:4" x14ac:dyDescent="0.25">
      <c r="A107"/>
      <c r="B107"/>
      <c r="C107"/>
      <c r="D107"/>
    </row>
    <row r="108" spans="1:4" x14ac:dyDescent="0.25">
      <c r="A108"/>
      <c r="B108"/>
      <c r="C108"/>
      <c r="D108"/>
    </row>
    <row r="109" spans="1:4" x14ac:dyDescent="0.25">
      <c r="A109"/>
      <c r="B109"/>
      <c r="C109"/>
      <c r="D109"/>
    </row>
    <row r="110" spans="1:4" x14ac:dyDescent="0.25">
      <c r="A110"/>
      <c r="B110"/>
      <c r="C110"/>
      <c r="D110"/>
    </row>
    <row r="111" spans="1:4" x14ac:dyDescent="0.25">
      <c r="A111"/>
      <c r="B111"/>
      <c r="C111"/>
      <c r="D111"/>
    </row>
    <row r="112" spans="1:4" x14ac:dyDescent="0.25">
      <c r="A112"/>
      <c r="B112"/>
      <c r="C112"/>
      <c r="D112"/>
    </row>
    <row r="113" spans="1:4" x14ac:dyDescent="0.25">
      <c r="A113"/>
      <c r="B113"/>
      <c r="C113"/>
      <c r="D113"/>
    </row>
    <row r="114" spans="1:4" x14ac:dyDescent="0.25">
      <c r="A114"/>
      <c r="B114"/>
      <c r="C114"/>
      <c r="D114"/>
    </row>
    <row r="115" spans="1:4" x14ac:dyDescent="0.25">
      <c r="A115"/>
      <c r="B115"/>
      <c r="C115"/>
      <c r="D115"/>
    </row>
    <row r="116" spans="1:4" x14ac:dyDescent="0.25">
      <c r="A116"/>
      <c r="B116"/>
      <c r="C116"/>
      <c r="D116"/>
    </row>
    <row r="117" spans="1:4" x14ac:dyDescent="0.25">
      <c r="A117"/>
      <c r="B117"/>
      <c r="C117"/>
      <c r="D117"/>
    </row>
    <row r="118" spans="1:4" x14ac:dyDescent="0.25">
      <c r="A118"/>
      <c r="B118"/>
      <c r="C118"/>
      <c r="D118"/>
    </row>
    <row r="119" spans="1:4" x14ac:dyDescent="0.25">
      <c r="A119"/>
      <c r="B119"/>
      <c r="C119"/>
      <c r="D119"/>
    </row>
    <row r="120" spans="1:4" x14ac:dyDescent="0.25">
      <c r="A120"/>
      <c r="B120"/>
      <c r="C120"/>
      <c r="D120"/>
    </row>
    <row r="121" spans="1:4" x14ac:dyDescent="0.25">
      <c r="A121"/>
      <c r="B121"/>
      <c r="C121"/>
      <c r="D121"/>
    </row>
    <row r="122" spans="1:4" x14ac:dyDescent="0.25">
      <c r="A122"/>
      <c r="B122"/>
      <c r="C122"/>
      <c r="D122"/>
    </row>
    <row r="123" spans="1:4" x14ac:dyDescent="0.25">
      <c r="A123"/>
      <c r="B123"/>
      <c r="C123"/>
      <c r="D123"/>
    </row>
    <row r="124" spans="1:4" x14ac:dyDescent="0.25">
      <c r="A124"/>
      <c r="B124"/>
      <c r="C124"/>
      <c r="D124"/>
    </row>
    <row r="125" spans="1:4" x14ac:dyDescent="0.25">
      <c r="A125"/>
      <c r="B125"/>
      <c r="C125"/>
      <c r="D125"/>
    </row>
    <row r="126" spans="1:4" x14ac:dyDescent="0.25">
      <c r="A126"/>
      <c r="B126"/>
      <c r="C126"/>
      <c r="D126"/>
    </row>
    <row r="127" spans="1:4" x14ac:dyDescent="0.25">
      <c r="A127"/>
      <c r="B127"/>
      <c r="C127"/>
      <c r="D127"/>
    </row>
    <row r="128" spans="1:4" x14ac:dyDescent="0.25">
      <c r="A128"/>
      <c r="B128"/>
      <c r="C128"/>
      <c r="D128"/>
    </row>
    <row r="129" spans="1:4" x14ac:dyDescent="0.25">
      <c r="A129"/>
      <c r="B129"/>
      <c r="C129"/>
      <c r="D129"/>
    </row>
    <row r="130" spans="1:4" x14ac:dyDescent="0.25">
      <c r="A130"/>
      <c r="B130"/>
      <c r="C130"/>
      <c r="D130"/>
    </row>
    <row r="131" spans="1:4" x14ac:dyDescent="0.25">
      <c r="A131"/>
      <c r="B131"/>
      <c r="C131"/>
      <c r="D131"/>
    </row>
    <row r="132" spans="1:4" x14ac:dyDescent="0.25">
      <c r="A132"/>
      <c r="B132"/>
      <c r="C132"/>
      <c r="D132"/>
    </row>
    <row r="133" spans="1:4" x14ac:dyDescent="0.25">
      <c r="A133"/>
      <c r="B133"/>
      <c r="C133"/>
      <c r="D133"/>
    </row>
    <row r="134" spans="1:4" x14ac:dyDescent="0.25">
      <c r="A134"/>
      <c r="B134"/>
      <c r="C134"/>
      <c r="D134"/>
    </row>
    <row r="135" spans="1:4" x14ac:dyDescent="0.25">
      <c r="A135"/>
      <c r="B135"/>
      <c r="C135"/>
      <c r="D135"/>
    </row>
    <row r="136" spans="1:4" x14ac:dyDescent="0.25">
      <c r="A136"/>
      <c r="B136"/>
      <c r="C136"/>
      <c r="D136"/>
    </row>
    <row r="137" spans="1:4" x14ac:dyDescent="0.25">
      <c r="A137"/>
      <c r="B137"/>
      <c r="C137"/>
      <c r="D137"/>
    </row>
    <row r="138" spans="1:4" x14ac:dyDescent="0.25">
      <c r="A138"/>
      <c r="B138"/>
      <c r="C138"/>
      <c r="D138"/>
    </row>
    <row r="139" spans="1:4" x14ac:dyDescent="0.25">
      <c r="A139"/>
      <c r="B139"/>
      <c r="C139"/>
      <c r="D139"/>
    </row>
    <row r="140" spans="1:4" x14ac:dyDescent="0.25">
      <c r="A140"/>
      <c r="B140"/>
      <c r="C140"/>
      <c r="D140"/>
    </row>
    <row r="141" spans="1:4" x14ac:dyDescent="0.25">
      <c r="A141"/>
      <c r="B141"/>
      <c r="C141"/>
      <c r="D141"/>
    </row>
    <row r="142" spans="1:4" x14ac:dyDescent="0.25">
      <c r="A142"/>
      <c r="B142"/>
      <c r="C142"/>
      <c r="D142"/>
    </row>
    <row r="143" spans="1:4" x14ac:dyDescent="0.25">
      <c r="A143"/>
      <c r="B143"/>
      <c r="C143"/>
      <c r="D143"/>
    </row>
    <row r="144" spans="1:4" x14ac:dyDescent="0.25">
      <c r="A144"/>
      <c r="B144"/>
      <c r="C144"/>
      <c r="D144"/>
    </row>
    <row r="145" spans="1:4" x14ac:dyDescent="0.25">
      <c r="A145"/>
      <c r="B145"/>
      <c r="C145"/>
      <c r="D145"/>
    </row>
    <row r="146" spans="1:4" x14ac:dyDescent="0.25">
      <c r="A146"/>
      <c r="B146"/>
      <c r="C146"/>
      <c r="D146"/>
    </row>
    <row r="147" spans="1:4" x14ac:dyDescent="0.25">
      <c r="A147"/>
      <c r="B147"/>
      <c r="C147"/>
      <c r="D147"/>
    </row>
    <row r="148" spans="1:4" x14ac:dyDescent="0.25">
      <c r="A148"/>
      <c r="B148"/>
      <c r="C148"/>
      <c r="D148"/>
    </row>
    <row r="149" spans="1:4" x14ac:dyDescent="0.25">
      <c r="A149"/>
      <c r="B149"/>
      <c r="C149"/>
      <c r="D149"/>
    </row>
    <row r="150" spans="1:4" x14ac:dyDescent="0.25">
      <c r="A150"/>
      <c r="B150"/>
      <c r="C150"/>
      <c r="D150"/>
    </row>
    <row r="151" spans="1:4" x14ac:dyDescent="0.25">
      <c r="A151"/>
      <c r="B151"/>
      <c r="C151"/>
      <c r="D151"/>
    </row>
    <row r="152" spans="1:4" x14ac:dyDescent="0.25">
      <c r="A152"/>
      <c r="B152"/>
      <c r="C152"/>
      <c r="D152"/>
    </row>
    <row r="153" spans="1:4" x14ac:dyDescent="0.25">
      <c r="A153"/>
      <c r="B153"/>
      <c r="C153"/>
      <c r="D153"/>
    </row>
    <row r="154" spans="1:4" x14ac:dyDescent="0.25">
      <c r="A154"/>
      <c r="B154"/>
      <c r="C154"/>
      <c r="D154"/>
    </row>
    <row r="155" spans="1:4" x14ac:dyDescent="0.25">
      <c r="A155"/>
      <c r="B155"/>
      <c r="C155"/>
      <c r="D155"/>
    </row>
    <row r="156" spans="1:4" x14ac:dyDescent="0.25">
      <c r="A156"/>
      <c r="B156"/>
      <c r="C156"/>
      <c r="D156"/>
    </row>
    <row r="157" spans="1:4" x14ac:dyDescent="0.25">
      <c r="A157"/>
      <c r="B157"/>
      <c r="C157"/>
      <c r="D157"/>
    </row>
    <row r="158" spans="1:4" x14ac:dyDescent="0.25">
      <c r="A158"/>
      <c r="B158"/>
      <c r="C158"/>
      <c r="D158"/>
    </row>
    <row r="159" spans="1:4" x14ac:dyDescent="0.25">
      <c r="A159"/>
      <c r="B159"/>
      <c r="C159"/>
      <c r="D159"/>
    </row>
    <row r="160" spans="1:4" x14ac:dyDescent="0.25">
      <c r="A160"/>
      <c r="B160"/>
      <c r="C160"/>
      <c r="D160"/>
    </row>
    <row r="161" spans="1:4" x14ac:dyDescent="0.25">
      <c r="A161"/>
      <c r="B161"/>
      <c r="C161"/>
      <c r="D161"/>
    </row>
    <row r="162" spans="1:4" x14ac:dyDescent="0.25">
      <c r="A162"/>
      <c r="B162"/>
      <c r="C162"/>
      <c r="D162"/>
    </row>
    <row r="163" spans="1:4" x14ac:dyDescent="0.25">
      <c r="A163"/>
      <c r="B163"/>
      <c r="C163"/>
      <c r="D163"/>
    </row>
    <row r="164" spans="1:4" x14ac:dyDescent="0.25">
      <c r="A164"/>
      <c r="B164"/>
      <c r="C164"/>
      <c r="D164"/>
    </row>
    <row r="165" spans="1:4" x14ac:dyDescent="0.25">
      <c r="A165"/>
      <c r="B165"/>
      <c r="C165"/>
      <c r="D165"/>
    </row>
    <row r="166" spans="1:4" x14ac:dyDescent="0.25">
      <c r="A166"/>
      <c r="B166"/>
      <c r="C166"/>
      <c r="D166"/>
    </row>
    <row r="167" spans="1:4" x14ac:dyDescent="0.25">
      <c r="A167"/>
      <c r="B167"/>
      <c r="C167"/>
      <c r="D167"/>
    </row>
    <row r="168" spans="1:4" x14ac:dyDescent="0.25">
      <c r="A168"/>
      <c r="B168"/>
      <c r="C168"/>
      <c r="D168"/>
    </row>
    <row r="169" spans="1:4" x14ac:dyDescent="0.25">
      <c r="A169"/>
      <c r="B169"/>
      <c r="C169"/>
      <c r="D169"/>
    </row>
    <row r="170" spans="1:4" x14ac:dyDescent="0.25">
      <c r="A170"/>
      <c r="B170"/>
      <c r="C170"/>
      <c r="D170"/>
    </row>
    <row r="171" spans="1:4" x14ac:dyDescent="0.25">
      <c r="A171"/>
      <c r="B171"/>
      <c r="C171"/>
      <c r="D171"/>
    </row>
    <row r="172" spans="1:4" x14ac:dyDescent="0.25">
      <c r="A172"/>
      <c r="B172"/>
      <c r="C172"/>
      <c r="D172"/>
    </row>
    <row r="173" spans="1:4" x14ac:dyDescent="0.25">
      <c r="A173"/>
      <c r="B173"/>
      <c r="C173"/>
      <c r="D173"/>
    </row>
    <row r="174" spans="1:4" x14ac:dyDescent="0.25">
      <c r="A174"/>
      <c r="B174"/>
      <c r="C174"/>
      <c r="D174"/>
    </row>
    <row r="175" spans="1:4" x14ac:dyDescent="0.25">
      <c r="A175"/>
      <c r="B175"/>
      <c r="C175"/>
      <c r="D175"/>
    </row>
    <row r="176" spans="1:4" x14ac:dyDescent="0.25">
      <c r="A176"/>
      <c r="B176"/>
      <c r="C176"/>
      <c r="D176"/>
    </row>
    <row r="177" spans="1:4" x14ac:dyDescent="0.25">
      <c r="A177"/>
      <c r="B177"/>
      <c r="C177"/>
      <c r="D177"/>
    </row>
    <row r="178" spans="1:4" x14ac:dyDescent="0.25">
      <c r="A178"/>
      <c r="B178"/>
      <c r="C178"/>
      <c r="D178"/>
    </row>
    <row r="179" spans="1:4" x14ac:dyDescent="0.25">
      <c r="A179"/>
      <c r="B179"/>
      <c r="C179"/>
      <c r="D179"/>
    </row>
    <row r="180" spans="1:4" x14ac:dyDescent="0.25">
      <c r="A180"/>
      <c r="B180"/>
      <c r="C180"/>
      <c r="D180"/>
    </row>
    <row r="181" spans="1:4" x14ac:dyDescent="0.25">
      <c r="A181"/>
      <c r="B181"/>
      <c r="C181"/>
      <c r="D181"/>
    </row>
    <row r="182" spans="1:4" x14ac:dyDescent="0.25">
      <c r="A182"/>
      <c r="B182"/>
      <c r="C182"/>
      <c r="D182"/>
    </row>
    <row r="183" spans="1:4" x14ac:dyDescent="0.25">
      <c r="A183"/>
      <c r="B183"/>
      <c r="C183"/>
      <c r="D183"/>
    </row>
    <row r="184" spans="1:4" x14ac:dyDescent="0.25">
      <c r="A184"/>
      <c r="B184"/>
      <c r="C184"/>
      <c r="D184"/>
    </row>
    <row r="185" spans="1:4" x14ac:dyDescent="0.25">
      <c r="A185"/>
      <c r="B185"/>
      <c r="C185"/>
      <c r="D185"/>
    </row>
    <row r="186" spans="1:4" x14ac:dyDescent="0.25">
      <c r="A186"/>
      <c r="B186"/>
      <c r="C186"/>
      <c r="D186"/>
    </row>
    <row r="187" spans="1:4" x14ac:dyDescent="0.25">
      <c r="A187"/>
      <c r="B187"/>
      <c r="C187"/>
      <c r="D187"/>
    </row>
    <row r="188" spans="1:4" x14ac:dyDescent="0.25">
      <c r="A188"/>
      <c r="B188"/>
      <c r="C188"/>
      <c r="D188"/>
    </row>
    <row r="189" spans="1:4" x14ac:dyDescent="0.25">
      <c r="A189"/>
      <c r="B189"/>
      <c r="C189"/>
      <c r="D189"/>
    </row>
    <row r="190" spans="1:4" x14ac:dyDescent="0.25">
      <c r="A190"/>
      <c r="B190"/>
      <c r="C190"/>
      <c r="D190"/>
    </row>
    <row r="191" spans="1:4" x14ac:dyDescent="0.25">
      <c r="A191"/>
      <c r="B191"/>
      <c r="C191"/>
      <c r="D191"/>
    </row>
    <row r="192" spans="1:4" x14ac:dyDescent="0.25">
      <c r="A192"/>
      <c r="B192"/>
      <c r="C192"/>
      <c r="D192"/>
    </row>
    <row r="193" spans="1:4" x14ac:dyDescent="0.25">
      <c r="A193"/>
      <c r="B193"/>
      <c r="C193"/>
      <c r="D193"/>
    </row>
    <row r="194" spans="1:4" x14ac:dyDescent="0.25">
      <c r="A194"/>
      <c r="B194"/>
      <c r="C194"/>
      <c r="D194"/>
    </row>
    <row r="195" spans="1:4" x14ac:dyDescent="0.25">
      <c r="A195"/>
      <c r="B195"/>
      <c r="C195"/>
      <c r="D195"/>
    </row>
    <row r="196" spans="1:4" x14ac:dyDescent="0.25">
      <c r="A196"/>
      <c r="B196"/>
      <c r="C196"/>
      <c r="D196"/>
    </row>
    <row r="197" spans="1:4" x14ac:dyDescent="0.25">
      <c r="A197"/>
      <c r="B197"/>
      <c r="C197"/>
      <c r="D197"/>
    </row>
    <row r="198" spans="1:4" x14ac:dyDescent="0.25">
      <c r="A198"/>
      <c r="B198"/>
      <c r="C198"/>
      <c r="D198"/>
    </row>
    <row r="199" spans="1:4" x14ac:dyDescent="0.25">
      <c r="A199"/>
      <c r="B199"/>
      <c r="C199"/>
      <c r="D199"/>
    </row>
    <row r="200" spans="1:4" x14ac:dyDescent="0.25">
      <c r="A200"/>
      <c r="B200"/>
      <c r="C200"/>
      <c r="D200"/>
    </row>
    <row r="201" spans="1:4" x14ac:dyDescent="0.25">
      <c r="A201"/>
      <c r="B201"/>
      <c r="C201"/>
      <c r="D201"/>
    </row>
    <row r="202" spans="1:4" x14ac:dyDescent="0.25">
      <c r="A202"/>
      <c r="B202"/>
      <c r="C202"/>
      <c r="D202"/>
    </row>
    <row r="203" spans="1:4" x14ac:dyDescent="0.25">
      <c r="A203"/>
      <c r="B203"/>
      <c r="C203"/>
      <c r="D203"/>
    </row>
    <row r="204" spans="1:4" x14ac:dyDescent="0.25">
      <c r="A204"/>
      <c r="B204"/>
      <c r="C204"/>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row r="219" spans="1:4" x14ac:dyDescent="0.25">
      <c r="A219"/>
      <c r="B219"/>
      <c r="C219"/>
      <c r="D219"/>
    </row>
    <row r="220" spans="1:4" x14ac:dyDescent="0.25">
      <c r="A220"/>
      <c r="B220"/>
      <c r="C220"/>
      <c r="D220"/>
    </row>
    <row r="221" spans="1:4" x14ac:dyDescent="0.25">
      <c r="A221"/>
      <c r="B221"/>
      <c r="C221"/>
      <c r="D221"/>
    </row>
    <row r="222" spans="1:4" x14ac:dyDescent="0.25">
      <c r="A222"/>
      <c r="B222"/>
      <c r="C222"/>
      <c r="D222"/>
    </row>
    <row r="223" spans="1:4" x14ac:dyDescent="0.25">
      <c r="A223"/>
      <c r="B223"/>
      <c r="C223"/>
      <c r="D223"/>
    </row>
    <row r="224" spans="1:4" x14ac:dyDescent="0.25">
      <c r="A224"/>
      <c r="B224"/>
      <c r="C224"/>
      <c r="D224"/>
    </row>
    <row r="225" spans="1:4" x14ac:dyDescent="0.25">
      <c r="A225"/>
      <c r="B225"/>
      <c r="C225"/>
      <c r="D225"/>
    </row>
    <row r="226" spans="1:4" x14ac:dyDescent="0.25">
      <c r="A226"/>
      <c r="B226"/>
      <c r="C226"/>
      <c r="D226"/>
    </row>
    <row r="227" spans="1:4" x14ac:dyDescent="0.25">
      <c r="A227"/>
      <c r="B227"/>
      <c r="C227"/>
      <c r="D227"/>
    </row>
    <row r="228" spans="1:4" x14ac:dyDescent="0.25">
      <c r="A228"/>
      <c r="B228"/>
      <c r="C228"/>
      <c r="D228"/>
    </row>
    <row r="229" spans="1:4" x14ac:dyDescent="0.25">
      <c r="A229"/>
      <c r="B229"/>
      <c r="C229"/>
      <c r="D229"/>
    </row>
    <row r="230" spans="1:4" x14ac:dyDescent="0.25">
      <c r="A230"/>
      <c r="B230"/>
      <c r="C230"/>
      <c r="D230"/>
    </row>
    <row r="231" spans="1:4" x14ac:dyDescent="0.25">
      <c r="A231"/>
      <c r="B231"/>
      <c r="C231"/>
      <c r="D231"/>
    </row>
    <row r="232" spans="1:4" x14ac:dyDescent="0.25">
      <c r="A232"/>
      <c r="B232"/>
      <c r="C232"/>
      <c r="D232"/>
    </row>
    <row r="233" spans="1:4" x14ac:dyDescent="0.25">
      <c r="A233"/>
      <c r="B233"/>
      <c r="C233"/>
      <c r="D233"/>
    </row>
    <row r="234" spans="1:4" x14ac:dyDescent="0.25">
      <c r="A234"/>
      <c r="B234"/>
      <c r="C234"/>
      <c r="D234"/>
    </row>
    <row r="235" spans="1:4" x14ac:dyDescent="0.25">
      <c r="A235"/>
      <c r="B235"/>
      <c r="C235"/>
      <c r="D235"/>
    </row>
    <row r="236" spans="1:4" x14ac:dyDescent="0.25">
      <c r="A236"/>
      <c r="B236"/>
      <c r="C236"/>
      <c r="D236"/>
    </row>
    <row r="237" spans="1:4" x14ac:dyDescent="0.25">
      <c r="A237"/>
      <c r="B237"/>
      <c r="C237"/>
      <c r="D237"/>
    </row>
    <row r="238" spans="1:4" x14ac:dyDescent="0.25">
      <c r="A238"/>
      <c r="B238"/>
      <c r="C238"/>
      <c r="D238"/>
    </row>
    <row r="239" spans="1:4" x14ac:dyDescent="0.25">
      <c r="A239"/>
      <c r="B239"/>
      <c r="C239"/>
      <c r="D239"/>
    </row>
    <row r="240" spans="1:4" x14ac:dyDescent="0.25">
      <c r="A240"/>
      <c r="B240"/>
      <c r="C240"/>
      <c r="D240"/>
    </row>
    <row r="241" spans="1:4" x14ac:dyDescent="0.25">
      <c r="A241"/>
      <c r="B241"/>
      <c r="C241"/>
      <c r="D241"/>
    </row>
    <row r="242" spans="1:4" x14ac:dyDescent="0.25">
      <c r="A242"/>
      <c r="B242"/>
      <c r="C242"/>
      <c r="D242"/>
    </row>
    <row r="243" spans="1:4" x14ac:dyDescent="0.25">
      <c r="A243"/>
      <c r="B243"/>
      <c r="C243"/>
      <c r="D243"/>
    </row>
    <row r="244" spans="1:4" x14ac:dyDescent="0.25">
      <c r="A244"/>
      <c r="B244"/>
      <c r="C244"/>
      <c r="D244"/>
    </row>
    <row r="245" spans="1:4" x14ac:dyDescent="0.25">
      <c r="A245"/>
      <c r="B245"/>
      <c r="C245"/>
      <c r="D245"/>
    </row>
    <row r="246" spans="1:4" x14ac:dyDescent="0.25">
      <c r="A246"/>
      <c r="B246"/>
      <c r="C246"/>
      <c r="D246"/>
    </row>
    <row r="247" spans="1:4" x14ac:dyDescent="0.25">
      <c r="A247"/>
      <c r="B247"/>
      <c r="C247"/>
      <c r="D247"/>
    </row>
    <row r="248" spans="1:4" x14ac:dyDescent="0.25">
      <c r="A248"/>
      <c r="B248"/>
      <c r="C248"/>
      <c r="D248"/>
    </row>
    <row r="249" spans="1:4" x14ac:dyDescent="0.25">
      <c r="A249"/>
      <c r="B249"/>
      <c r="C249"/>
      <c r="D249"/>
    </row>
    <row r="250" spans="1:4" x14ac:dyDescent="0.25">
      <c r="A250"/>
      <c r="B250"/>
      <c r="C250"/>
      <c r="D250"/>
    </row>
    <row r="251" spans="1:4" x14ac:dyDescent="0.25">
      <c r="A251"/>
      <c r="B251"/>
      <c r="C251"/>
      <c r="D251"/>
    </row>
    <row r="252" spans="1:4" x14ac:dyDescent="0.25">
      <c r="A252"/>
      <c r="B252"/>
      <c r="C252"/>
      <c r="D252"/>
    </row>
    <row r="253" spans="1:4" x14ac:dyDescent="0.25">
      <c r="A253"/>
      <c r="B253"/>
      <c r="C253"/>
      <c r="D253"/>
    </row>
    <row r="254" spans="1:4" x14ac:dyDescent="0.25">
      <c r="A254"/>
      <c r="B254"/>
      <c r="C254"/>
      <c r="D254"/>
    </row>
    <row r="255" spans="1:4" x14ac:dyDescent="0.25">
      <c r="A255"/>
      <c r="B255"/>
      <c r="C255"/>
      <c r="D255"/>
    </row>
    <row r="256" spans="1:4" x14ac:dyDescent="0.25">
      <c r="A256"/>
      <c r="B256"/>
      <c r="C256"/>
      <c r="D256"/>
    </row>
    <row r="257" spans="1:4" x14ac:dyDescent="0.25">
      <c r="A257"/>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row r="264" spans="1:4" x14ac:dyDescent="0.25">
      <c r="A264"/>
      <c r="B264"/>
      <c r="C264"/>
      <c r="D264"/>
    </row>
    <row r="265" spans="1:4" x14ac:dyDescent="0.25">
      <c r="A265"/>
      <c r="B265"/>
      <c r="C265"/>
      <c r="D265"/>
    </row>
    <row r="266" spans="1:4" x14ac:dyDescent="0.25">
      <c r="A266"/>
      <c r="B266"/>
      <c r="C266"/>
      <c r="D266"/>
    </row>
    <row r="267" spans="1:4" x14ac:dyDescent="0.25">
      <c r="A267"/>
      <c r="B267"/>
      <c r="C267"/>
      <c r="D267"/>
    </row>
    <row r="268" spans="1:4" x14ac:dyDescent="0.25">
      <c r="A268"/>
      <c r="B268"/>
      <c r="C268"/>
      <c r="D268"/>
    </row>
    <row r="269" spans="1:4" x14ac:dyDescent="0.25">
      <c r="A269"/>
      <c r="B269"/>
      <c r="C269"/>
      <c r="D269"/>
    </row>
    <row r="270" spans="1:4" x14ac:dyDescent="0.25">
      <c r="A270"/>
      <c r="B270"/>
      <c r="C270"/>
      <c r="D270"/>
    </row>
    <row r="271" spans="1:4" x14ac:dyDescent="0.25">
      <c r="A271"/>
      <c r="B271"/>
      <c r="C271"/>
      <c r="D271"/>
    </row>
    <row r="272" spans="1:4" x14ac:dyDescent="0.25">
      <c r="A272"/>
      <c r="B272"/>
      <c r="C272"/>
      <c r="D272"/>
    </row>
    <row r="273" spans="1:4" x14ac:dyDescent="0.25">
      <c r="A273"/>
      <c r="B273"/>
      <c r="C273"/>
      <c r="D273"/>
    </row>
    <row r="274" spans="1:4" x14ac:dyDescent="0.25">
      <c r="A274"/>
      <c r="B274"/>
      <c r="C274"/>
      <c r="D274"/>
    </row>
    <row r="275" spans="1:4" x14ac:dyDescent="0.25">
      <c r="A275"/>
      <c r="B275"/>
      <c r="C275"/>
      <c r="D275"/>
    </row>
    <row r="276" spans="1:4" x14ac:dyDescent="0.25">
      <c r="A276"/>
      <c r="B276"/>
      <c r="C276"/>
      <c r="D276"/>
    </row>
    <row r="277" spans="1:4" x14ac:dyDescent="0.25">
      <c r="A277"/>
      <c r="B277"/>
      <c r="C277"/>
      <c r="D277"/>
    </row>
    <row r="278" spans="1:4" x14ac:dyDescent="0.25">
      <c r="A278"/>
      <c r="B278"/>
      <c r="C278"/>
      <c r="D278"/>
    </row>
    <row r="279" spans="1:4" x14ac:dyDescent="0.25">
      <c r="A279"/>
      <c r="B279"/>
      <c r="C279"/>
      <c r="D279"/>
    </row>
    <row r="280" spans="1:4" x14ac:dyDescent="0.25">
      <c r="A280"/>
      <c r="B280"/>
      <c r="C280"/>
      <c r="D280"/>
    </row>
    <row r="281" spans="1:4" x14ac:dyDescent="0.25">
      <c r="A281"/>
      <c r="B281"/>
      <c r="C281"/>
      <c r="D281"/>
    </row>
    <row r="282" spans="1:4" x14ac:dyDescent="0.25">
      <c r="A282"/>
      <c r="B282"/>
      <c r="C282"/>
      <c r="D282"/>
    </row>
    <row r="283" spans="1:4" x14ac:dyDescent="0.25">
      <c r="A283"/>
      <c r="B283"/>
      <c r="C283"/>
      <c r="D283"/>
    </row>
    <row r="284" spans="1:4" x14ac:dyDescent="0.25">
      <c r="A284"/>
      <c r="B284"/>
      <c r="C284"/>
      <c r="D284"/>
    </row>
    <row r="285" spans="1:4" x14ac:dyDescent="0.25">
      <c r="A285"/>
      <c r="B285"/>
      <c r="C285"/>
      <c r="D285"/>
    </row>
    <row r="286" spans="1:4" x14ac:dyDescent="0.25">
      <c r="A286"/>
      <c r="B286"/>
      <c r="C286"/>
      <c r="D286"/>
    </row>
    <row r="287" spans="1:4" x14ac:dyDescent="0.25">
      <c r="A287"/>
      <c r="B287"/>
      <c r="C287"/>
      <c r="D287"/>
    </row>
    <row r="288" spans="1:4" x14ac:dyDescent="0.25">
      <c r="A288"/>
      <c r="B288"/>
      <c r="C288"/>
      <c r="D288"/>
    </row>
    <row r="289" spans="1:4" x14ac:dyDescent="0.25">
      <c r="A289"/>
      <c r="B289"/>
      <c r="C289"/>
      <c r="D289"/>
    </row>
    <row r="290" spans="1:4" x14ac:dyDescent="0.25">
      <c r="A290"/>
      <c r="B290"/>
      <c r="C290"/>
      <c r="D290"/>
    </row>
    <row r="291" spans="1:4" x14ac:dyDescent="0.25">
      <c r="A291"/>
      <c r="B291"/>
      <c r="C291"/>
      <c r="D291"/>
    </row>
    <row r="292" spans="1:4" x14ac:dyDescent="0.25">
      <c r="A292"/>
      <c r="B292"/>
      <c r="C292"/>
      <c r="D292"/>
    </row>
    <row r="293" spans="1:4" x14ac:dyDescent="0.25">
      <c r="A293"/>
      <c r="B293"/>
      <c r="C293"/>
      <c r="D293"/>
    </row>
    <row r="294" spans="1:4" x14ac:dyDescent="0.25">
      <c r="A294"/>
      <c r="B294"/>
      <c r="C294"/>
      <c r="D294"/>
    </row>
    <row r="295" spans="1:4" x14ac:dyDescent="0.25">
      <c r="A295"/>
      <c r="B295"/>
      <c r="C295"/>
      <c r="D295"/>
    </row>
    <row r="296" spans="1:4" x14ac:dyDescent="0.25">
      <c r="A296"/>
      <c r="B296"/>
      <c r="C296"/>
      <c r="D296"/>
    </row>
    <row r="297" spans="1:4" x14ac:dyDescent="0.25">
      <c r="A297"/>
      <c r="B297"/>
      <c r="C297"/>
      <c r="D297"/>
    </row>
    <row r="298" spans="1:4" x14ac:dyDescent="0.25">
      <c r="A298"/>
      <c r="B298"/>
      <c r="C298"/>
      <c r="D298"/>
    </row>
    <row r="299" spans="1:4" x14ac:dyDescent="0.25">
      <c r="A299"/>
      <c r="B299"/>
      <c r="C299"/>
      <c r="D299"/>
    </row>
    <row r="300" spans="1:4" x14ac:dyDescent="0.25">
      <c r="A300"/>
      <c r="B300"/>
      <c r="C300"/>
      <c r="D300"/>
    </row>
    <row r="301" spans="1:4" x14ac:dyDescent="0.25">
      <c r="A301"/>
      <c r="B301"/>
      <c r="C301"/>
      <c r="D301"/>
    </row>
    <row r="302" spans="1:4" x14ac:dyDescent="0.25">
      <c r="A302"/>
      <c r="B302"/>
      <c r="C302"/>
      <c r="D302"/>
    </row>
    <row r="303" spans="1:4" x14ac:dyDescent="0.25">
      <c r="A303"/>
      <c r="B303"/>
      <c r="C303"/>
      <c r="D303"/>
    </row>
    <row r="304" spans="1:4" x14ac:dyDescent="0.25">
      <c r="A304"/>
      <c r="B304"/>
      <c r="C304"/>
      <c r="D304"/>
    </row>
    <row r="305" spans="1:4" x14ac:dyDescent="0.25">
      <c r="A305"/>
      <c r="B305"/>
      <c r="C305"/>
      <c r="D305"/>
    </row>
    <row r="306" spans="1:4" x14ac:dyDescent="0.25">
      <c r="A306"/>
      <c r="B306"/>
      <c r="C306"/>
      <c r="D306"/>
    </row>
    <row r="307" spans="1:4" x14ac:dyDescent="0.25">
      <c r="A307"/>
      <c r="B307"/>
      <c r="C307"/>
      <c r="D307"/>
    </row>
    <row r="308" spans="1:4" x14ac:dyDescent="0.25">
      <c r="A308"/>
      <c r="B308"/>
      <c r="C308"/>
      <c r="D308"/>
    </row>
    <row r="309" spans="1:4" x14ac:dyDescent="0.25">
      <c r="A309"/>
      <c r="B309"/>
      <c r="C309"/>
      <c r="D309"/>
    </row>
    <row r="310" spans="1:4" x14ac:dyDescent="0.25">
      <c r="A310"/>
      <c r="B310"/>
      <c r="C310"/>
      <c r="D310"/>
    </row>
    <row r="311" spans="1:4" x14ac:dyDescent="0.25">
      <c r="A311"/>
      <c r="B311"/>
      <c r="C311"/>
      <c r="D311"/>
    </row>
    <row r="312" spans="1:4" x14ac:dyDescent="0.25">
      <c r="A312"/>
      <c r="B312"/>
      <c r="C312"/>
      <c r="D312"/>
    </row>
    <row r="313" spans="1:4" x14ac:dyDescent="0.25">
      <c r="A313"/>
      <c r="B313"/>
      <c r="C313"/>
      <c r="D313"/>
    </row>
    <row r="314" spans="1:4" x14ac:dyDescent="0.25">
      <c r="A314"/>
      <c r="B314"/>
      <c r="C314"/>
      <c r="D314"/>
    </row>
    <row r="315" spans="1:4" x14ac:dyDescent="0.25">
      <c r="A315"/>
      <c r="B315"/>
      <c r="C315"/>
    </row>
    <row r="316" spans="1:4" x14ac:dyDescent="0.25">
      <c r="A316"/>
      <c r="B316"/>
      <c r="C316"/>
    </row>
    <row r="317" spans="1:4" x14ac:dyDescent="0.25">
      <c r="A317"/>
      <c r="B317"/>
      <c r="C317"/>
    </row>
    <row r="318" spans="1:4" x14ac:dyDescent="0.25">
      <c r="A318"/>
      <c r="B318"/>
      <c r="C318"/>
    </row>
    <row r="319" spans="1:4" x14ac:dyDescent="0.25">
      <c r="A319"/>
      <c r="B319"/>
      <c r="C319"/>
    </row>
    <row r="320" spans="1:4"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sheetData>
  <mergeCells count="1">
    <mergeCell ref="A13:F13"/>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00134-B2EA-45D9-9C39-EEAE01C741F6}">
  <sheetPr>
    <tabColor theme="9" tint="0.59999389629810485"/>
    <pageSetUpPr fitToPage="1"/>
  </sheetPr>
  <dimension ref="B3:BG44"/>
  <sheetViews>
    <sheetView zoomScale="75" zoomScaleNormal="75" workbookViewId="0">
      <selection activeCell="C24" sqref="C24"/>
    </sheetView>
  </sheetViews>
  <sheetFormatPr defaultRowHeight="15" x14ac:dyDescent="0.25"/>
  <cols>
    <col min="1" max="1" width="4.5703125" style="2" customWidth="1"/>
    <col min="2" max="2" width="21" style="2" customWidth="1"/>
    <col min="3" max="3" width="39.140625" style="47" customWidth="1"/>
    <col min="4" max="4" width="86" style="91" customWidth="1"/>
    <col min="5" max="5" width="13.5703125" style="2" customWidth="1"/>
    <col min="6" max="6" width="16.85546875" style="92" hidden="1" customWidth="1"/>
    <col min="7" max="7" width="15.5703125" style="2" customWidth="1"/>
    <col min="8" max="8" width="4.7109375" style="2" customWidth="1"/>
    <col min="9" max="11" width="5" style="2" bestFit="1" customWidth="1"/>
    <col min="12" max="15" width="5" style="2" customWidth="1"/>
    <col min="16" max="16" width="6" style="2" customWidth="1"/>
    <col min="17" max="59" width="5.140625" style="2" customWidth="1"/>
    <col min="60" max="16384" width="9.140625" style="2"/>
  </cols>
  <sheetData>
    <row r="3" spans="2:59" ht="15.75" customHeight="1" x14ac:dyDescent="0.25">
      <c r="G3" s="265" t="s">
        <v>410</v>
      </c>
      <c r="H3" s="266"/>
      <c r="I3" s="266"/>
      <c r="J3" s="266"/>
      <c r="K3" s="266"/>
      <c r="L3" s="266"/>
      <c r="M3" s="266"/>
      <c r="N3" s="266"/>
      <c r="O3" s="266"/>
      <c r="P3" s="267"/>
      <c r="Q3" s="63"/>
      <c r="R3" s="63"/>
    </row>
    <row r="4" spans="2:59" x14ac:dyDescent="0.25">
      <c r="G4" s="261" t="s">
        <v>1013</v>
      </c>
      <c r="H4" s="262"/>
      <c r="I4" s="262"/>
      <c r="J4" s="262"/>
      <c r="K4" s="262"/>
      <c r="L4" s="262"/>
      <c r="M4" s="262"/>
      <c r="N4" s="262"/>
      <c r="O4" s="226">
        <f>SUM('3. SCHEDULE'!$G$17:$G$891)</f>
        <v>0</v>
      </c>
      <c r="P4" s="227"/>
      <c r="Q4" s="63" t="s">
        <v>525</v>
      </c>
      <c r="R4" s="63"/>
    </row>
    <row r="5" spans="2:59" x14ac:dyDescent="0.25">
      <c r="G5" s="261" t="s">
        <v>1014</v>
      </c>
      <c r="H5" s="262"/>
      <c r="I5" s="262"/>
      <c r="J5" s="262"/>
      <c r="K5" s="262"/>
      <c r="L5" s="262"/>
      <c r="M5" s="262"/>
      <c r="N5" s="262"/>
      <c r="O5" s="246">
        <f>O4/1780</f>
        <v>0</v>
      </c>
      <c r="P5" s="247"/>
      <c r="Q5" s="63" t="s">
        <v>526</v>
      </c>
    </row>
    <row r="6" spans="2:59" x14ac:dyDescent="0.25">
      <c r="G6" s="263" t="s">
        <v>1015</v>
      </c>
      <c r="H6" s="264"/>
      <c r="I6" s="264"/>
      <c r="J6" s="264"/>
      <c r="K6" s="264"/>
      <c r="L6" s="264"/>
      <c r="M6" s="264"/>
      <c r="N6" s="264"/>
      <c r="O6" s="224">
        <f>O4*0.1</f>
        <v>0</v>
      </c>
      <c r="P6" s="225"/>
      <c r="Q6" s="62" t="s">
        <v>409</v>
      </c>
    </row>
    <row r="7" spans="2:59" ht="15.75" x14ac:dyDescent="0.25">
      <c r="C7" s="61"/>
    </row>
    <row r="8" spans="2:59" ht="16.5" thickBot="1" x14ac:dyDescent="0.3">
      <c r="C8" s="61"/>
    </row>
    <row r="9" spans="2:59" x14ac:dyDescent="0.25">
      <c r="B9" s="160" t="s">
        <v>501</v>
      </c>
      <c r="C9" s="161">
        <f>'TABLE OF CONTENTS'!K13</f>
        <v>0</v>
      </c>
    </row>
    <row r="10" spans="2:59" x14ac:dyDescent="0.25">
      <c r="B10" s="162" t="s">
        <v>502</v>
      </c>
      <c r="C10" s="163">
        <f>'TABLE OF CONTENTS'!K14</f>
        <v>0</v>
      </c>
    </row>
    <row r="11" spans="2:59" ht="15" customHeight="1" x14ac:dyDescent="0.25">
      <c r="B11" s="162" t="s">
        <v>506</v>
      </c>
      <c r="C11" s="163">
        <f>'TABLE OF CONTENTS'!K15</f>
        <v>0</v>
      </c>
    </row>
    <row r="12" spans="2:59" ht="15" customHeight="1" thickBot="1" x14ac:dyDescent="0.3">
      <c r="B12" s="164" t="s">
        <v>520</v>
      </c>
      <c r="C12" s="165">
        <f>'TABLE OF CONTENTS'!K16</f>
        <v>0</v>
      </c>
      <c r="H12" s="50" t="s">
        <v>408</v>
      </c>
    </row>
    <row r="13" spans="2:59" ht="15" customHeight="1" x14ac:dyDescent="0.25">
      <c r="C13" s="187"/>
      <c r="H13" s="60">
        <f>SUM('3. SCHEDULE'!H$17:H$891)</f>
        <v>0</v>
      </c>
      <c r="I13" s="60">
        <f>SUM('3. SCHEDULE'!I$17:I$891)</f>
        <v>0</v>
      </c>
      <c r="J13" s="60">
        <f>SUM('3. SCHEDULE'!J$17:J$891)</f>
        <v>0</v>
      </c>
      <c r="K13" s="60">
        <f>SUM('3. SCHEDULE'!K$17:K$891)</f>
        <v>0</v>
      </c>
      <c r="L13" s="60">
        <f>SUM('3. SCHEDULE'!L$17:L$891)</f>
        <v>0</v>
      </c>
      <c r="M13" s="60">
        <f>SUM('3. SCHEDULE'!M$17:M$891)</f>
        <v>0</v>
      </c>
      <c r="N13" s="60">
        <f>SUM('3. SCHEDULE'!N$17:N$891)</f>
        <v>0</v>
      </c>
      <c r="O13" s="60">
        <f>SUM('3. SCHEDULE'!O$17:O$891)</f>
        <v>0</v>
      </c>
      <c r="P13" s="60">
        <f>SUM('3. SCHEDULE'!P$17:P$891)</f>
        <v>0</v>
      </c>
      <c r="Q13" s="60">
        <f>SUM('3. SCHEDULE'!Q$17:Q$891)</f>
        <v>3</v>
      </c>
      <c r="R13" s="60">
        <f>SUM('3. SCHEDULE'!R$17:R$891)</f>
        <v>0</v>
      </c>
      <c r="S13" s="60">
        <f>SUM('3. SCHEDULE'!S$17:S$891)</f>
        <v>0</v>
      </c>
      <c r="T13" s="60">
        <f>SUM('3. SCHEDULE'!T$17:T$891)</f>
        <v>0</v>
      </c>
      <c r="U13" s="60">
        <f>SUM('3. SCHEDULE'!U$17:U$891)</f>
        <v>0</v>
      </c>
      <c r="V13" s="60">
        <f>SUM('3. SCHEDULE'!V$17:V$891)</f>
        <v>0</v>
      </c>
      <c r="W13" s="60">
        <f>SUM('3. SCHEDULE'!W$17:W$891)</f>
        <v>0</v>
      </c>
      <c r="X13" s="60">
        <f>SUM('3. SCHEDULE'!X$17:X$891)</f>
        <v>0</v>
      </c>
      <c r="Y13" s="60">
        <f>SUM('3. SCHEDULE'!Y$17:Y$891)</f>
        <v>0</v>
      </c>
      <c r="Z13" s="60">
        <f>SUM('3. SCHEDULE'!Z$17:Z$891)</f>
        <v>0</v>
      </c>
      <c r="AA13" s="60">
        <f>SUM('3. SCHEDULE'!AA$17:AA$891)</f>
        <v>0</v>
      </c>
      <c r="AB13" s="60">
        <f>SUM('3. SCHEDULE'!AB$17:AB$891)</f>
        <v>0</v>
      </c>
      <c r="AC13" s="60">
        <f>SUM('3. SCHEDULE'!AC$17:AC$891)</f>
        <v>0</v>
      </c>
      <c r="AD13" s="60">
        <f>SUM('3. SCHEDULE'!AD$17:AD$891)</f>
        <v>0</v>
      </c>
      <c r="AE13" s="60">
        <f>SUM('3. SCHEDULE'!AE$17:AE$891)</f>
        <v>0</v>
      </c>
      <c r="AF13" s="60">
        <f>SUM('3. SCHEDULE'!AF$17:AF$891)</f>
        <v>0</v>
      </c>
      <c r="AG13" s="60">
        <f>SUM('3. SCHEDULE'!AG$17:AG$891)</f>
        <v>0</v>
      </c>
      <c r="AH13" s="60">
        <f>SUM('3. SCHEDULE'!AH$17:AH$891)</f>
        <v>0</v>
      </c>
      <c r="AI13" s="60">
        <f>SUM('3. SCHEDULE'!AI$17:AI$891)</f>
        <v>0</v>
      </c>
      <c r="AJ13" s="60">
        <f>SUM('3. SCHEDULE'!AJ$17:AJ$891)</f>
        <v>0</v>
      </c>
      <c r="AK13" s="60">
        <f>SUM('3. SCHEDULE'!AK$17:AK$891)</f>
        <v>0</v>
      </c>
      <c r="AL13" s="60">
        <f>SUM('3. SCHEDULE'!AL$17:AL$891)</f>
        <v>0</v>
      </c>
      <c r="AM13" s="60">
        <f>SUM('3. SCHEDULE'!AM$17:AM$891)</f>
        <v>0</v>
      </c>
      <c r="AN13" s="60">
        <f>SUM('3. SCHEDULE'!AN$17:AN$891)</f>
        <v>0</v>
      </c>
      <c r="AO13" s="60">
        <f>SUM('3. SCHEDULE'!AO$17:AO$891)</f>
        <v>0</v>
      </c>
      <c r="AP13" s="60">
        <f>SUM('3. SCHEDULE'!AP$17:AP$891)</f>
        <v>0</v>
      </c>
      <c r="AQ13" s="60">
        <f>SUM('3. SCHEDULE'!AQ$17:AQ$891)</f>
        <v>0</v>
      </c>
      <c r="AR13" s="60">
        <f>SUM('3. SCHEDULE'!AR$17:AR$891)</f>
        <v>0</v>
      </c>
      <c r="AS13" s="60">
        <f>SUM('3. SCHEDULE'!AS$17:AS$891)</f>
        <v>0</v>
      </c>
      <c r="AT13" s="60">
        <f>SUM('3. SCHEDULE'!AT$17:AT$891)</f>
        <v>0</v>
      </c>
      <c r="AU13" s="60">
        <f>SUM('3. SCHEDULE'!AU$17:AU$891)</f>
        <v>0</v>
      </c>
      <c r="AV13" s="60">
        <f>SUM('3. SCHEDULE'!AV$17:AV$891)</f>
        <v>0</v>
      </c>
      <c r="AW13" s="60">
        <f>SUM('3. SCHEDULE'!AW$17:AW$891)</f>
        <v>0</v>
      </c>
      <c r="AX13" s="60">
        <f>SUM('3. SCHEDULE'!AX$17:AX$891)</f>
        <v>0</v>
      </c>
      <c r="AY13" s="60">
        <f>SUM('3. SCHEDULE'!AY$17:AY$891)</f>
        <v>0</v>
      </c>
      <c r="AZ13" s="60">
        <f>SUM('3. SCHEDULE'!AZ$17:AZ$891)</f>
        <v>0</v>
      </c>
      <c r="BA13" s="60">
        <f>SUM('3. SCHEDULE'!BA$17:BA$891)</f>
        <v>0</v>
      </c>
      <c r="BB13" s="60">
        <f>SUM('3. SCHEDULE'!BB$17:BB$891)</f>
        <v>0</v>
      </c>
      <c r="BC13" s="60">
        <f>SUM('3. SCHEDULE'!BC$17:BC$891)</f>
        <v>0</v>
      </c>
      <c r="BD13" s="60">
        <f>SUM('3. SCHEDULE'!BD$17:BD$891)</f>
        <v>0</v>
      </c>
      <c r="BE13" s="60">
        <f>SUM('3. SCHEDULE'!BE$17:BE$891)</f>
        <v>0</v>
      </c>
      <c r="BF13" s="60">
        <f>SUM('3. SCHEDULE'!BF$17:BF$891)</f>
        <v>0</v>
      </c>
      <c r="BG13" s="60">
        <f>SUM('3. SCHEDULE'!BG$17:BG$891)</f>
        <v>0</v>
      </c>
    </row>
    <row r="14" spans="2:59" ht="15.75" thickBot="1" x14ac:dyDescent="0.3">
      <c r="H14" s="245" t="s">
        <v>407</v>
      </c>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row>
    <row r="15" spans="2:59" ht="15" customHeight="1" x14ac:dyDescent="0.25">
      <c r="B15" s="58"/>
      <c r="C15" s="59"/>
      <c r="D15" s="166"/>
      <c r="E15" s="58"/>
      <c r="F15" s="93"/>
      <c r="G15" s="249"/>
      <c r="H15" s="222" t="s">
        <v>136</v>
      </c>
      <c r="I15" s="222"/>
      <c r="J15" s="222"/>
      <c r="K15" s="223"/>
      <c r="L15" s="221" t="s">
        <v>137</v>
      </c>
      <c r="M15" s="222"/>
      <c r="N15" s="222"/>
      <c r="O15" s="223"/>
      <c r="P15" s="221" t="s">
        <v>138</v>
      </c>
      <c r="Q15" s="222"/>
      <c r="R15" s="222"/>
      <c r="S15" s="223"/>
      <c r="T15" s="221" t="s">
        <v>139</v>
      </c>
      <c r="U15" s="222"/>
      <c r="V15" s="222"/>
      <c r="W15" s="223"/>
      <c r="X15" s="221" t="s">
        <v>140</v>
      </c>
      <c r="Y15" s="222"/>
      <c r="Z15" s="222"/>
      <c r="AA15" s="223"/>
      <c r="AB15" s="221" t="s">
        <v>141</v>
      </c>
      <c r="AC15" s="222"/>
      <c r="AD15" s="222"/>
      <c r="AE15" s="223"/>
      <c r="AF15" s="221" t="s">
        <v>142</v>
      </c>
      <c r="AG15" s="222"/>
      <c r="AH15" s="222"/>
      <c r="AI15" s="222"/>
      <c r="AJ15" s="223"/>
      <c r="AK15" s="221" t="s">
        <v>143</v>
      </c>
      <c r="AL15" s="222"/>
      <c r="AM15" s="222"/>
      <c r="AN15" s="222"/>
      <c r="AO15" s="223"/>
      <c r="AP15" s="221" t="s">
        <v>144</v>
      </c>
      <c r="AQ15" s="222"/>
      <c r="AR15" s="222"/>
      <c r="AS15" s="223"/>
      <c r="AT15" s="221" t="s">
        <v>145</v>
      </c>
      <c r="AU15" s="222"/>
      <c r="AV15" s="222"/>
      <c r="AW15" s="222"/>
      <c r="AX15" s="223"/>
      <c r="AY15" s="221" t="s">
        <v>146</v>
      </c>
      <c r="AZ15" s="222"/>
      <c r="BA15" s="222"/>
      <c r="BB15" s="223"/>
      <c r="BC15" s="221" t="s">
        <v>147</v>
      </c>
      <c r="BD15" s="222"/>
      <c r="BE15" s="222"/>
      <c r="BF15" s="222"/>
      <c r="BG15" s="223"/>
    </row>
    <row r="16" spans="2:59" x14ac:dyDescent="0.25">
      <c r="B16" s="272" t="s">
        <v>0</v>
      </c>
      <c r="C16" s="57" t="s">
        <v>18</v>
      </c>
      <c r="D16" s="57" t="s">
        <v>406</v>
      </c>
      <c r="E16" s="57" t="s">
        <v>405</v>
      </c>
      <c r="F16" s="94" t="s">
        <v>404</v>
      </c>
      <c r="G16" s="250" t="s">
        <v>1012</v>
      </c>
      <c r="H16" s="248" t="s">
        <v>148</v>
      </c>
      <c r="I16" s="55" t="s">
        <v>149</v>
      </c>
      <c r="J16" s="55" t="s">
        <v>150</v>
      </c>
      <c r="K16" s="55" t="s">
        <v>151</v>
      </c>
      <c r="L16" s="56" t="s">
        <v>152</v>
      </c>
      <c r="M16" s="55" t="s">
        <v>153</v>
      </c>
      <c r="N16" s="55" t="s">
        <v>154</v>
      </c>
      <c r="O16" s="55" t="s">
        <v>155</v>
      </c>
      <c r="P16" s="56" t="s">
        <v>156</v>
      </c>
      <c r="Q16" s="55" t="s">
        <v>157</v>
      </c>
      <c r="R16" s="55" t="s">
        <v>158</v>
      </c>
      <c r="S16" s="55" t="s">
        <v>159</v>
      </c>
      <c r="T16" s="56" t="s">
        <v>160</v>
      </c>
      <c r="U16" s="55" t="s">
        <v>161</v>
      </c>
      <c r="V16" s="55" t="s">
        <v>162</v>
      </c>
      <c r="W16" s="55" t="s">
        <v>163</v>
      </c>
      <c r="X16" s="56" t="s">
        <v>164</v>
      </c>
      <c r="Y16" s="55" t="s">
        <v>165</v>
      </c>
      <c r="Z16" s="55" t="s">
        <v>166</v>
      </c>
      <c r="AA16" s="55" t="s">
        <v>167</v>
      </c>
      <c r="AB16" s="56" t="s">
        <v>168</v>
      </c>
      <c r="AC16" s="55" t="s">
        <v>169</v>
      </c>
      <c r="AD16" s="55" t="s">
        <v>170</v>
      </c>
      <c r="AE16" s="55" t="s">
        <v>171</v>
      </c>
      <c r="AF16" s="56" t="s">
        <v>172</v>
      </c>
      <c r="AG16" s="55" t="s">
        <v>173</v>
      </c>
      <c r="AH16" s="55" t="s">
        <v>174</v>
      </c>
      <c r="AI16" s="55" t="s">
        <v>175</v>
      </c>
      <c r="AJ16" s="55" t="s">
        <v>176</v>
      </c>
      <c r="AK16" s="56" t="s">
        <v>177</v>
      </c>
      <c r="AL16" s="55" t="s">
        <v>178</v>
      </c>
      <c r="AM16" s="55" t="s">
        <v>179</v>
      </c>
      <c r="AN16" s="55" t="s">
        <v>180</v>
      </c>
      <c r="AO16" s="55" t="s">
        <v>181</v>
      </c>
      <c r="AP16" s="56" t="s">
        <v>182</v>
      </c>
      <c r="AQ16" s="55" t="s">
        <v>183</v>
      </c>
      <c r="AR16" s="55" t="s">
        <v>184</v>
      </c>
      <c r="AS16" s="55" t="s">
        <v>185</v>
      </c>
      <c r="AT16" s="56" t="s">
        <v>186</v>
      </c>
      <c r="AU16" s="55" t="s">
        <v>187</v>
      </c>
      <c r="AV16" s="55" t="s">
        <v>188</v>
      </c>
      <c r="AW16" s="55" t="s">
        <v>189</v>
      </c>
      <c r="AX16" s="55" t="s">
        <v>190</v>
      </c>
      <c r="AY16" s="56" t="s">
        <v>191</v>
      </c>
      <c r="AZ16" s="55" t="s">
        <v>192</v>
      </c>
      <c r="BA16" s="55" t="s">
        <v>193</v>
      </c>
      <c r="BB16" s="55" t="s">
        <v>194</v>
      </c>
      <c r="BC16" s="56" t="s">
        <v>195</v>
      </c>
      <c r="BD16" s="55" t="s">
        <v>196</v>
      </c>
      <c r="BE16" s="55" t="s">
        <v>197</v>
      </c>
      <c r="BF16" s="55" t="s">
        <v>198</v>
      </c>
      <c r="BG16" s="167" t="s">
        <v>199</v>
      </c>
    </row>
    <row r="17" spans="2:59" x14ac:dyDescent="0.25">
      <c r="B17" s="273"/>
      <c r="C17" s="54" t="str">
        <f>IFERROR(VLOOKUP('3. SCHEDULE'!$B17,'5. WO Data Masterlist'!$B15:$U322, 4, FALSE), "")</f>
        <v/>
      </c>
      <c r="D17" s="53" t="str">
        <f>IFERROR(VLOOKUP('3. SCHEDULE'!$B17,'5. WO Data Masterlist'!$B15:$U322, 5, FALSE), "")</f>
        <v/>
      </c>
      <c r="E17" s="54" t="str">
        <f>IFERROR(VLOOKUP('3. SCHEDULE'!$B17,'5. WO Data Masterlist'!$B15:$U322,7, FALSE), "")</f>
        <v/>
      </c>
      <c r="F17" s="95" t="str">
        <f>IFERROR(VLOOKUP('3. SCHEDULE'!$B17,'5. WO Data Masterlist'!$B15:$U322,8, FALSE), "")</f>
        <v/>
      </c>
      <c r="G17" s="251" t="str">
        <f>IFERROR(VLOOKUP('3. SCHEDULE'!$B17,'5. WO Data Masterlist'!$B15:$U322,13, FALSE)*F17, "")</f>
        <v/>
      </c>
      <c r="H17" s="204"/>
      <c r="I17" s="205"/>
      <c r="J17" s="205"/>
      <c r="K17" s="205"/>
      <c r="L17" s="206"/>
      <c r="M17" s="205"/>
      <c r="N17" s="207"/>
      <c r="O17" s="207"/>
      <c r="P17" s="208"/>
      <c r="Q17" s="207"/>
      <c r="R17" s="207"/>
      <c r="S17" s="207"/>
      <c r="T17" s="208"/>
      <c r="U17" s="205"/>
      <c r="V17" s="205"/>
      <c r="W17" s="205"/>
      <c r="X17" s="206"/>
      <c r="Y17" s="205"/>
      <c r="Z17" s="205"/>
      <c r="AA17" s="205"/>
      <c r="AB17" s="206"/>
      <c r="AC17" s="205"/>
      <c r="AD17" s="205"/>
      <c r="AE17" s="205"/>
      <c r="AF17" s="206"/>
      <c r="AG17" s="205"/>
      <c r="AH17" s="205"/>
      <c r="AI17" s="205"/>
      <c r="AJ17" s="205"/>
      <c r="AK17" s="206"/>
      <c r="AL17" s="205"/>
      <c r="AM17" s="205"/>
      <c r="AN17" s="205"/>
      <c r="AO17" s="205"/>
      <c r="AP17" s="206"/>
      <c r="AQ17" s="205"/>
      <c r="AR17" s="205"/>
      <c r="AS17" s="205"/>
      <c r="AT17" s="206"/>
      <c r="AU17" s="205"/>
      <c r="AV17" s="205"/>
      <c r="AW17" s="205"/>
      <c r="AX17" s="205"/>
      <c r="AY17" s="206"/>
      <c r="AZ17" s="205"/>
      <c r="BA17" s="205"/>
      <c r="BB17" s="205"/>
      <c r="BC17" s="206"/>
      <c r="BD17" s="205"/>
      <c r="BE17" s="204"/>
      <c r="BF17" s="204"/>
      <c r="BG17" s="209"/>
    </row>
    <row r="18" spans="2:59" x14ac:dyDescent="0.25">
      <c r="B18" s="273"/>
      <c r="C18" s="54" t="str">
        <f>IFERROR(VLOOKUP('3. SCHEDULE'!$B18,'5. WO Data Masterlist'!$B16:$T323, 4, FALSE), "")</f>
        <v/>
      </c>
      <c r="D18" s="53" t="str">
        <f>IFERROR(VLOOKUP('3. SCHEDULE'!$B18,'5. WO Data Masterlist'!$B16:$T323, 5, FALSE), "")</f>
        <v/>
      </c>
      <c r="E18" s="54" t="str">
        <f>IFERROR(VLOOKUP('3. SCHEDULE'!$B18,'5. WO Data Masterlist'!$B16:$U323,7, FALSE), "")</f>
        <v/>
      </c>
      <c r="F18" s="95" t="str">
        <f>IFERROR(VLOOKUP('3. SCHEDULE'!$B18,'5. WO Data Masterlist'!$B16:$T323,8, FALSE), "")</f>
        <v/>
      </c>
      <c r="G18" s="251" t="str">
        <f>IFERROR(VLOOKUP('3. SCHEDULE'!$B18,'5. WO Data Masterlist'!$B16:$U323,13, FALSE)*F18, "")</f>
        <v/>
      </c>
      <c r="H18" s="204"/>
      <c r="I18" s="204"/>
      <c r="J18" s="204"/>
      <c r="K18" s="204"/>
      <c r="L18" s="210"/>
      <c r="M18" s="204"/>
      <c r="N18" s="204"/>
      <c r="O18" s="204"/>
      <c r="P18" s="210"/>
      <c r="Q18" s="204"/>
      <c r="R18" s="204"/>
      <c r="S18" s="204"/>
      <c r="T18" s="210"/>
      <c r="U18" s="204"/>
      <c r="V18" s="204"/>
      <c r="W18" s="204"/>
      <c r="X18" s="210"/>
      <c r="Y18" s="204"/>
      <c r="Z18" s="204"/>
      <c r="AA18" s="204"/>
      <c r="AB18" s="210"/>
      <c r="AC18" s="204"/>
      <c r="AD18" s="204"/>
      <c r="AE18" s="204"/>
      <c r="AF18" s="210"/>
      <c r="AG18" s="204"/>
      <c r="AH18" s="204"/>
      <c r="AI18" s="204"/>
      <c r="AJ18" s="204"/>
      <c r="AK18" s="210"/>
      <c r="AL18" s="204"/>
      <c r="AM18" s="204"/>
      <c r="AN18" s="204"/>
      <c r="AO18" s="204"/>
      <c r="AP18" s="210"/>
      <c r="AQ18" s="204"/>
      <c r="AR18" s="204"/>
      <c r="AS18" s="204"/>
      <c r="AT18" s="210"/>
      <c r="AU18" s="204"/>
      <c r="AV18" s="204"/>
      <c r="AW18" s="204"/>
      <c r="AX18" s="204"/>
      <c r="AY18" s="210"/>
      <c r="AZ18" s="204"/>
      <c r="BA18" s="204"/>
      <c r="BB18" s="204"/>
      <c r="BC18" s="210"/>
      <c r="BD18" s="204"/>
      <c r="BE18" s="204"/>
      <c r="BF18" s="204"/>
      <c r="BG18" s="209"/>
    </row>
    <row r="19" spans="2:59" x14ac:dyDescent="0.25">
      <c r="B19" s="273"/>
      <c r="C19" s="54" t="str">
        <f>IFERROR(VLOOKUP('3. SCHEDULE'!$B19,'5. WO Data Masterlist'!$B17:$T324, 4, FALSE), "")</f>
        <v/>
      </c>
      <c r="D19" s="53" t="str">
        <f>IFERROR(VLOOKUP('3. SCHEDULE'!$B19,'5. WO Data Masterlist'!$B17:$T324, 5, FALSE), "")</f>
        <v/>
      </c>
      <c r="E19" s="54" t="str">
        <f>IFERROR(VLOOKUP('3. SCHEDULE'!$B19,'5. WO Data Masterlist'!$B17:$U324,7, FALSE), "")</f>
        <v/>
      </c>
      <c r="F19" s="95" t="str">
        <f>IFERROR(VLOOKUP('3. SCHEDULE'!$B19,'5. WO Data Masterlist'!$B17:$T324,8, FALSE), "")</f>
        <v/>
      </c>
      <c r="G19" s="251" t="str">
        <f>IFERROR(VLOOKUP('3. SCHEDULE'!$B19,'5. WO Data Masterlist'!$B17:$U324,13, FALSE)*F19, "")</f>
        <v/>
      </c>
      <c r="H19" s="204"/>
      <c r="I19" s="204"/>
      <c r="J19" s="204"/>
      <c r="K19" s="204"/>
      <c r="L19" s="210"/>
      <c r="M19" s="204"/>
      <c r="N19" s="204"/>
      <c r="O19" s="204"/>
      <c r="P19" s="210"/>
      <c r="Q19" s="204"/>
      <c r="R19" s="204"/>
      <c r="S19" s="204"/>
      <c r="T19" s="210"/>
      <c r="U19" s="204"/>
      <c r="V19" s="204"/>
      <c r="W19" s="204"/>
      <c r="X19" s="210"/>
      <c r="Y19" s="204"/>
      <c r="Z19" s="204"/>
      <c r="AA19" s="204"/>
      <c r="AB19" s="210"/>
      <c r="AC19" s="204"/>
      <c r="AD19" s="204"/>
      <c r="AE19" s="204"/>
      <c r="AF19" s="210"/>
      <c r="AG19" s="204"/>
      <c r="AH19" s="204"/>
      <c r="AI19" s="204"/>
      <c r="AJ19" s="204"/>
      <c r="AK19" s="210"/>
      <c r="AL19" s="204"/>
      <c r="AM19" s="204"/>
      <c r="AN19" s="204"/>
      <c r="AO19" s="204"/>
      <c r="AP19" s="210"/>
      <c r="AQ19" s="204"/>
      <c r="AR19" s="204"/>
      <c r="AS19" s="204"/>
      <c r="AT19" s="210"/>
      <c r="AU19" s="204"/>
      <c r="AV19" s="204"/>
      <c r="AW19" s="204"/>
      <c r="AX19" s="204"/>
      <c r="AY19" s="210"/>
      <c r="AZ19" s="204"/>
      <c r="BA19" s="204"/>
      <c r="BB19" s="204"/>
      <c r="BC19" s="210"/>
      <c r="BD19" s="204"/>
      <c r="BE19" s="204"/>
      <c r="BF19" s="204"/>
      <c r="BG19" s="209"/>
    </row>
    <row r="20" spans="2:59" x14ac:dyDescent="0.25">
      <c r="B20" s="273"/>
      <c r="C20" s="54" t="str">
        <f>IFERROR(VLOOKUP('3. SCHEDULE'!$B20,'5. WO Data Masterlist'!$B18:$T325, 4, FALSE), "")</f>
        <v/>
      </c>
      <c r="D20" s="53" t="str">
        <f>IFERROR(VLOOKUP('3. SCHEDULE'!$B20,'5. WO Data Masterlist'!$B18:$T325, 5, FALSE), "")</f>
        <v/>
      </c>
      <c r="E20" s="54" t="str">
        <f>IFERROR(VLOOKUP('3. SCHEDULE'!$B20,'5. WO Data Masterlist'!$B18:$U325,7, FALSE), "")</f>
        <v/>
      </c>
      <c r="F20" s="95" t="str">
        <f>IFERROR(VLOOKUP('3. SCHEDULE'!$B20,'5. WO Data Masterlist'!$B18:$T325,8, FALSE), "")</f>
        <v/>
      </c>
      <c r="G20" s="251" t="str">
        <f>IFERROR(VLOOKUP('3. SCHEDULE'!$B20,'5. WO Data Masterlist'!$B18:$U325,13, FALSE)*F20, "")</f>
        <v/>
      </c>
      <c r="H20" s="204"/>
      <c r="I20" s="204"/>
      <c r="J20" s="204"/>
      <c r="K20" s="204"/>
      <c r="L20" s="210"/>
      <c r="M20" s="204"/>
      <c r="N20" s="204"/>
      <c r="O20" s="204"/>
      <c r="P20" s="210"/>
      <c r="Q20" s="204"/>
      <c r="R20" s="204"/>
      <c r="S20" s="204"/>
      <c r="T20" s="210"/>
      <c r="U20" s="204"/>
      <c r="V20" s="204"/>
      <c r="W20" s="204"/>
      <c r="X20" s="210"/>
      <c r="Y20" s="204"/>
      <c r="Z20" s="204"/>
      <c r="AA20" s="204"/>
      <c r="AB20" s="210"/>
      <c r="AC20" s="204"/>
      <c r="AD20" s="204"/>
      <c r="AE20" s="204"/>
      <c r="AF20" s="210"/>
      <c r="AG20" s="204"/>
      <c r="AH20" s="204"/>
      <c r="AI20" s="204"/>
      <c r="AJ20" s="204"/>
      <c r="AK20" s="210"/>
      <c r="AL20" s="204"/>
      <c r="AM20" s="204"/>
      <c r="AN20" s="204"/>
      <c r="AO20" s="204"/>
      <c r="AP20" s="210"/>
      <c r="AQ20" s="204"/>
      <c r="AR20" s="204"/>
      <c r="AS20" s="204"/>
      <c r="AT20" s="210"/>
      <c r="AU20" s="204"/>
      <c r="AV20" s="204"/>
      <c r="AW20" s="204"/>
      <c r="AX20" s="204"/>
      <c r="AY20" s="210"/>
      <c r="AZ20" s="204"/>
      <c r="BA20" s="204"/>
      <c r="BB20" s="204"/>
      <c r="BC20" s="210"/>
      <c r="BD20" s="204"/>
      <c r="BE20" s="204"/>
      <c r="BF20" s="204"/>
      <c r="BG20" s="209"/>
    </row>
    <row r="21" spans="2:59" ht="15" customHeight="1" x14ac:dyDescent="0.25">
      <c r="B21" s="273"/>
      <c r="C21" s="54" t="str">
        <f>IFERROR(VLOOKUP('3. SCHEDULE'!$B21,'5. WO Data Masterlist'!$B19:$T326, 4, FALSE), "")</f>
        <v/>
      </c>
      <c r="D21" s="53" t="str">
        <f>IFERROR(VLOOKUP('3. SCHEDULE'!$B21,'5. WO Data Masterlist'!$B19:$T326, 5, FALSE), "")</f>
        <v/>
      </c>
      <c r="E21" s="54" t="str">
        <f>IFERROR(VLOOKUP('3. SCHEDULE'!$B21,'5. WO Data Masterlist'!$B19:$U326,7, FALSE), "")</f>
        <v/>
      </c>
      <c r="F21" s="95" t="str">
        <f>IFERROR(VLOOKUP('3. SCHEDULE'!$B21,'5. WO Data Masterlist'!$B19:$T326,8, FALSE), "")</f>
        <v/>
      </c>
      <c r="G21" s="251" t="str">
        <f>IFERROR(VLOOKUP('3. SCHEDULE'!$B21,'5. WO Data Masterlist'!$B19:$U326,13, FALSE)*F21, "")</f>
        <v/>
      </c>
      <c r="H21" s="204"/>
      <c r="I21" s="204"/>
      <c r="J21" s="204"/>
      <c r="K21" s="204"/>
      <c r="L21" s="210"/>
      <c r="M21" s="204"/>
      <c r="N21" s="204"/>
      <c r="O21" s="204"/>
      <c r="P21" s="210"/>
      <c r="Q21" s="204"/>
      <c r="R21" s="204"/>
      <c r="S21" s="204"/>
      <c r="T21" s="210"/>
      <c r="U21" s="204"/>
      <c r="V21" s="204"/>
      <c r="W21" s="204"/>
      <c r="X21" s="210"/>
      <c r="Y21" s="204"/>
      <c r="Z21" s="204"/>
      <c r="AA21" s="204"/>
      <c r="AB21" s="210"/>
      <c r="AC21" s="204"/>
      <c r="AD21" s="204"/>
      <c r="AE21" s="204"/>
      <c r="AF21" s="210"/>
      <c r="AG21" s="204"/>
      <c r="AH21" s="204"/>
      <c r="AI21" s="204"/>
      <c r="AJ21" s="204"/>
      <c r="AK21" s="210"/>
      <c r="AL21" s="204"/>
      <c r="AM21" s="204"/>
      <c r="AN21" s="204"/>
      <c r="AO21" s="204"/>
      <c r="AP21" s="210"/>
      <c r="AQ21" s="204"/>
      <c r="AR21" s="204"/>
      <c r="AS21" s="204"/>
      <c r="AT21" s="210"/>
      <c r="AU21" s="204"/>
      <c r="AV21" s="204"/>
      <c r="AW21" s="204"/>
      <c r="AX21" s="204"/>
      <c r="AY21" s="210"/>
      <c r="AZ21" s="204"/>
      <c r="BA21" s="204"/>
      <c r="BB21" s="204"/>
      <c r="BC21" s="210"/>
      <c r="BD21" s="204"/>
      <c r="BE21" s="204"/>
      <c r="BF21" s="204"/>
      <c r="BG21" s="209"/>
    </row>
    <row r="22" spans="2:59" x14ac:dyDescent="0.25">
      <c r="B22" s="273"/>
      <c r="C22" s="54" t="str">
        <f>IFERROR(VLOOKUP('3. SCHEDULE'!$B22,'5. WO Data Masterlist'!$B20:$T327, 4, FALSE), "")</f>
        <v/>
      </c>
      <c r="D22" s="53" t="str">
        <f>IFERROR(VLOOKUP('3. SCHEDULE'!$B22,'5. WO Data Masterlist'!$B20:$T327, 5, FALSE), "")</f>
        <v/>
      </c>
      <c r="E22" s="54" t="str">
        <f>IFERROR(VLOOKUP('3. SCHEDULE'!$B22,'5. WO Data Masterlist'!$B20:$U327,7, FALSE), "")</f>
        <v/>
      </c>
      <c r="F22" s="95" t="str">
        <f>IFERROR(VLOOKUP('3. SCHEDULE'!$B22,'5. WO Data Masterlist'!$B20:$T327,8, FALSE), "")</f>
        <v/>
      </c>
      <c r="G22" s="251" t="str">
        <f>IFERROR(VLOOKUP('3. SCHEDULE'!$B22,'5. WO Data Masterlist'!$B20:$U327,13, FALSE)*F22, "")</f>
        <v/>
      </c>
      <c r="H22" s="204"/>
      <c r="I22" s="204"/>
      <c r="J22" s="204"/>
      <c r="K22" s="204"/>
      <c r="L22" s="210"/>
      <c r="M22" s="204"/>
      <c r="N22" s="204"/>
      <c r="O22" s="204"/>
      <c r="P22" s="210"/>
      <c r="Q22" s="204"/>
      <c r="R22" s="204"/>
      <c r="S22" s="204"/>
      <c r="T22" s="210"/>
      <c r="U22" s="204"/>
      <c r="V22" s="204"/>
      <c r="W22" s="204"/>
      <c r="X22" s="210"/>
      <c r="Y22" s="204"/>
      <c r="Z22" s="204"/>
      <c r="AA22" s="204"/>
      <c r="AB22" s="210"/>
      <c r="AC22" s="204"/>
      <c r="AD22" s="204"/>
      <c r="AE22" s="204"/>
      <c r="AF22" s="210"/>
      <c r="AG22" s="204"/>
      <c r="AH22" s="204"/>
      <c r="AI22" s="204"/>
      <c r="AJ22" s="204"/>
      <c r="AK22" s="210"/>
      <c r="AL22" s="204"/>
      <c r="AM22" s="204"/>
      <c r="AN22" s="204"/>
      <c r="AO22" s="204"/>
      <c r="AP22" s="210"/>
      <c r="AQ22" s="204"/>
      <c r="AR22" s="204"/>
      <c r="AS22" s="204"/>
      <c r="AT22" s="210"/>
      <c r="AU22" s="204"/>
      <c r="AV22" s="204"/>
      <c r="AW22" s="204"/>
      <c r="AX22" s="204"/>
      <c r="AY22" s="210"/>
      <c r="AZ22" s="204"/>
      <c r="BA22" s="204"/>
      <c r="BB22" s="204"/>
      <c r="BC22" s="210"/>
      <c r="BD22" s="204"/>
      <c r="BE22" s="204"/>
      <c r="BF22" s="204"/>
      <c r="BG22" s="209"/>
    </row>
    <row r="23" spans="2:59" x14ac:dyDescent="0.25">
      <c r="B23" s="273"/>
      <c r="C23" s="54" t="str">
        <f>IFERROR(VLOOKUP('3. SCHEDULE'!$B23,'5. WO Data Masterlist'!$B21:$T328, 4, FALSE), "")</f>
        <v/>
      </c>
      <c r="D23" s="53" t="str">
        <f>IFERROR(VLOOKUP('3. SCHEDULE'!$B23,'5. WO Data Masterlist'!$B21:$T328, 5, FALSE), "")</f>
        <v/>
      </c>
      <c r="E23" s="54" t="str">
        <f>IFERROR(VLOOKUP('3. SCHEDULE'!$B23,'5. WO Data Masterlist'!$B21:$U328,7, FALSE), "")</f>
        <v/>
      </c>
      <c r="F23" s="95" t="str">
        <f>IFERROR(VLOOKUP('3. SCHEDULE'!$B23,'5. WO Data Masterlist'!$B21:$T328,8, FALSE), "")</f>
        <v/>
      </c>
      <c r="G23" s="251" t="str">
        <f>IFERROR(VLOOKUP('3. SCHEDULE'!$B23,'5. WO Data Masterlist'!$B21:$U328,13, FALSE)*F23, "")</f>
        <v/>
      </c>
      <c r="H23" s="204"/>
      <c r="I23" s="204"/>
      <c r="J23" s="204"/>
      <c r="K23" s="204"/>
      <c r="L23" s="210"/>
      <c r="M23" s="204"/>
      <c r="N23" s="204"/>
      <c r="O23" s="204"/>
      <c r="P23" s="210"/>
      <c r="Q23" s="204"/>
      <c r="R23" s="204"/>
      <c r="S23" s="204"/>
      <c r="T23" s="210"/>
      <c r="U23" s="204"/>
      <c r="V23" s="204"/>
      <c r="W23" s="204"/>
      <c r="X23" s="210"/>
      <c r="Y23" s="204"/>
      <c r="Z23" s="204"/>
      <c r="AA23" s="204"/>
      <c r="AB23" s="210"/>
      <c r="AC23" s="204"/>
      <c r="AD23" s="204"/>
      <c r="AE23" s="204"/>
      <c r="AF23" s="210"/>
      <c r="AG23" s="204"/>
      <c r="AH23" s="204"/>
      <c r="AI23" s="204"/>
      <c r="AJ23" s="204"/>
      <c r="AK23" s="210"/>
      <c r="AL23" s="204"/>
      <c r="AM23" s="204"/>
      <c r="AN23" s="204"/>
      <c r="AO23" s="204"/>
      <c r="AP23" s="210"/>
      <c r="AQ23" s="204"/>
      <c r="AR23" s="204"/>
      <c r="AS23" s="204"/>
      <c r="AT23" s="210"/>
      <c r="AU23" s="204"/>
      <c r="AV23" s="204"/>
      <c r="AW23" s="204"/>
      <c r="AX23" s="204"/>
      <c r="AY23" s="210"/>
      <c r="AZ23" s="204"/>
      <c r="BA23" s="204"/>
      <c r="BB23" s="204"/>
      <c r="BC23" s="210"/>
      <c r="BD23" s="204"/>
      <c r="BE23" s="204"/>
      <c r="BF23" s="204"/>
      <c r="BG23" s="209"/>
    </row>
    <row r="24" spans="2:59" x14ac:dyDescent="0.25">
      <c r="B24" s="273"/>
      <c r="C24" s="54" t="str">
        <f>IFERROR(VLOOKUP('3. SCHEDULE'!$B24,'5. WO Data Masterlist'!$B22:$T329, 4, FALSE), "")</f>
        <v/>
      </c>
      <c r="D24" s="53" t="str">
        <f>IFERROR(VLOOKUP('3. SCHEDULE'!$B24,'5. WO Data Masterlist'!$B22:$T329, 5, FALSE), "")</f>
        <v/>
      </c>
      <c r="E24" s="54" t="str">
        <f>IFERROR(VLOOKUP('3. SCHEDULE'!$B24,'5. WO Data Masterlist'!$B22:$U329,7, FALSE), "")</f>
        <v/>
      </c>
      <c r="F24" s="95" t="str">
        <f>IFERROR(VLOOKUP('3. SCHEDULE'!$B24,'5. WO Data Masterlist'!$B22:$T329,8, FALSE), "")</f>
        <v/>
      </c>
      <c r="G24" s="251" t="str">
        <f>IFERROR(VLOOKUP('3. SCHEDULE'!$B24,'5. WO Data Masterlist'!$B22:$U329,13, FALSE)*F24, "")</f>
        <v/>
      </c>
      <c r="H24" s="204"/>
      <c r="I24" s="204"/>
      <c r="J24" s="204"/>
      <c r="K24" s="204"/>
      <c r="L24" s="210"/>
      <c r="M24" s="204"/>
      <c r="N24" s="204"/>
      <c r="O24" s="204"/>
      <c r="P24" s="210"/>
      <c r="Q24" s="204"/>
      <c r="R24" s="204"/>
      <c r="S24" s="204"/>
      <c r="T24" s="210"/>
      <c r="U24" s="204"/>
      <c r="V24" s="204"/>
      <c r="W24" s="204"/>
      <c r="X24" s="210"/>
      <c r="Y24" s="204"/>
      <c r="Z24" s="204"/>
      <c r="AA24" s="204"/>
      <c r="AB24" s="210"/>
      <c r="AC24" s="204"/>
      <c r="AD24" s="204"/>
      <c r="AE24" s="204"/>
      <c r="AF24" s="210"/>
      <c r="AG24" s="204"/>
      <c r="AH24" s="204"/>
      <c r="AI24" s="204"/>
      <c r="AJ24" s="204"/>
      <c r="AK24" s="210"/>
      <c r="AL24" s="204"/>
      <c r="AM24" s="204"/>
      <c r="AN24" s="204"/>
      <c r="AO24" s="204"/>
      <c r="AP24" s="210"/>
      <c r="AQ24" s="204"/>
      <c r="AR24" s="204"/>
      <c r="AS24" s="204"/>
      <c r="AT24" s="210"/>
      <c r="AU24" s="204"/>
      <c r="AV24" s="204"/>
      <c r="AW24" s="204"/>
      <c r="AX24" s="204"/>
      <c r="AY24" s="210"/>
      <c r="AZ24" s="204"/>
      <c r="BA24" s="204"/>
      <c r="BB24" s="204"/>
      <c r="BC24" s="210"/>
      <c r="BD24" s="204"/>
      <c r="BE24" s="204"/>
      <c r="BF24" s="204"/>
      <c r="BG24" s="209"/>
    </row>
    <row r="25" spans="2:59" x14ac:dyDescent="0.25">
      <c r="B25" s="273"/>
      <c r="C25" s="54" t="str">
        <f>IFERROR(VLOOKUP('3. SCHEDULE'!$B25,'5. WO Data Masterlist'!$B23:$T330, 4, FALSE), "")</f>
        <v/>
      </c>
      <c r="D25" s="53" t="str">
        <f>IFERROR(VLOOKUP('3. SCHEDULE'!$B25,'5. WO Data Masterlist'!$B23:$T330, 5, FALSE), "")</f>
        <v/>
      </c>
      <c r="E25" s="54" t="str">
        <f>IFERROR(VLOOKUP('3. SCHEDULE'!$B25,'5. WO Data Masterlist'!$B23:$U330,7, FALSE), "")</f>
        <v/>
      </c>
      <c r="F25" s="95" t="str">
        <f>IFERROR(VLOOKUP('3. SCHEDULE'!$B25,'5. WO Data Masterlist'!$B23:$T330,8, FALSE), "")</f>
        <v/>
      </c>
      <c r="G25" s="251" t="str">
        <f>IFERROR(VLOOKUP('3. SCHEDULE'!$B25,'5. WO Data Masterlist'!$B23:$U330,13, FALSE)*F25, "")</f>
        <v/>
      </c>
      <c r="H25" s="204"/>
      <c r="I25" s="204"/>
      <c r="J25" s="204"/>
      <c r="K25" s="204"/>
      <c r="L25" s="210"/>
      <c r="M25" s="204"/>
      <c r="N25" s="204"/>
      <c r="O25" s="204"/>
      <c r="P25" s="210"/>
      <c r="Q25" s="204"/>
      <c r="R25" s="204"/>
      <c r="S25" s="204"/>
      <c r="T25" s="210"/>
      <c r="U25" s="204"/>
      <c r="V25" s="204"/>
      <c r="W25" s="204"/>
      <c r="X25" s="210"/>
      <c r="Y25" s="204"/>
      <c r="Z25" s="204"/>
      <c r="AA25" s="204"/>
      <c r="AB25" s="210"/>
      <c r="AC25" s="204"/>
      <c r="AD25" s="204"/>
      <c r="AE25" s="204"/>
      <c r="AF25" s="210"/>
      <c r="AG25" s="204"/>
      <c r="AH25" s="204"/>
      <c r="AI25" s="204"/>
      <c r="AJ25" s="204"/>
      <c r="AK25" s="210"/>
      <c r="AL25" s="204"/>
      <c r="AM25" s="204"/>
      <c r="AN25" s="204"/>
      <c r="AO25" s="204"/>
      <c r="AP25" s="210"/>
      <c r="AQ25" s="204"/>
      <c r="AR25" s="204"/>
      <c r="AS25" s="204"/>
      <c r="AT25" s="210"/>
      <c r="AU25" s="204"/>
      <c r="AV25" s="204"/>
      <c r="AW25" s="204"/>
      <c r="AX25" s="204"/>
      <c r="AY25" s="210"/>
      <c r="AZ25" s="204"/>
      <c r="BA25" s="204"/>
      <c r="BB25" s="204"/>
      <c r="BC25" s="210"/>
      <c r="BD25" s="204"/>
      <c r="BE25" s="204"/>
      <c r="BF25" s="204"/>
      <c r="BG25" s="209"/>
    </row>
    <row r="26" spans="2:59" x14ac:dyDescent="0.25">
      <c r="B26" s="273"/>
      <c r="C26" s="54" t="str">
        <f>IFERROR(VLOOKUP('3. SCHEDULE'!$B26,'5. WO Data Masterlist'!$B24:$T331, 4, FALSE), "")</f>
        <v/>
      </c>
      <c r="D26" s="53" t="str">
        <f>IFERROR(VLOOKUP('3. SCHEDULE'!$B26,'5. WO Data Masterlist'!$B24:$T331, 5, FALSE), "")</f>
        <v/>
      </c>
      <c r="E26" s="54" t="str">
        <f>IFERROR(VLOOKUP('3. SCHEDULE'!$B26,'5. WO Data Masterlist'!$B24:$U331,7, FALSE), "")</f>
        <v/>
      </c>
      <c r="F26" s="95" t="str">
        <f>IFERROR(VLOOKUP('3. SCHEDULE'!$B26,'5. WO Data Masterlist'!$B24:$T331,8, FALSE), "")</f>
        <v/>
      </c>
      <c r="G26" s="251" t="str">
        <f>IFERROR(VLOOKUP('3. SCHEDULE'!$B26,'5. WO Data Masterlist'!$B24:$U331,13, FALSE)*F26, "")</f>
        <v/>
      </c>
      <c r="H26" s="204"/>
      <c r="I26" s="204"/>
      <c r="J26" s="204"/>
      <c r="K26" s="204"/>
      <c r="L26" s="210"/>
      <c r="M26" s="204"/>
      <c r="N26" s="204"/>
      <c r="O26" s="204"/>
      <c r="P26" s="210"/>
      <c r="Q26" s="204"/>
      <c r="R26" s="204"/>
      <c r="S26" s="204"/>
      <c r="T26" s="210"/>
      <c r="U26" s="204"/>
      <c r="V26" s="204"/>
      <c r="W26" s="204"/>
      <c r="X26" s="210"/>
      <c r="Y26" s="204"/>
      <c r="Z26" s="204"/>
      <c r="AA26" s="204"/>
      <c r="AB26" s="210"/>
      <c r="AC26" s="204"/>
      <c r="AD26" s="204"/>
      <c r="AE26" s="204"/>
      <c r="AF26" s="210"/>
      <c r="AG26" s="204"/>
      <c r="AH26" s="204"/>
      <c r="AI26" s="204"/>
      <c r="AJ26" s="204"/>
      <c r="AK26" s="210"/>
      <c r="AL26" s="204"/>
      <c r="AM26" s="204"/>
      <c r="AN26" s="204"/>
      <c r="AO26" s="204"/>
      <c r="AP26" s="210"/>
      <c r="AQ26" s="204"/>
      <c r="AR26" s="204"/>
      <c r="AS26" s="204"/>
      <c r="AT26" s="210"/>
      <c r="AU26" s="204"/>
      <c r="AV26" s="204"/>
      <c r="AW26" s="204"/>
      <c r="AX26" s="204"/>
      <c r="AY26" s="210"/>
      <c r="AZ26" s="204"/>
      <c r="BA26" s="204"/>
      <c r="BB26" s="204"/>
      <c r="BC26" s="210"/>
      <c r="BD26" s="204"/>
      <c r="BE26" s="204"/>
      <c r="BF26" s="204"/>
      <c r="BG26" s="209"/>
    </row>
    <row r="27" spans="2:59" x14ac:dyDescent="0.25">
      <c r="B27" s="273"/>
      <c r="C27" s="54" t="str">
        <f>IFERROR(VLOOKUP('3. SCHEDULE'!$B27,'5. WO Data Masterlist'!$B25:$T332, 4, FALSE), "")</f>
        <v/>
      </c>
      <c r="D27" s="53" t="str">
        <f>IFERROR(VLOOKUP('3. SCHEDULE'!$B27,'5. WO Data Masterlist'!$B25:$T332, 5, FALSE), "")</f>
        <v/>
      </c>
      <c r="E27" s="54" t="str">
        <f>IFERROR(VLOOKUP('3. SCHEDULE'!$B27,'5. WO Data Masterlist'!$B25:$U332,7, FALSE), "")</f>
        <v/>
      </c>
      <c r="F27" s="95" t="str">
        <f>IFERROR(VLOOKUP('3. SCHEDULE'!$B27,'5. WO Data Masterlist'!$B25:$T332,8, FALSE), "")</f>
        <v/>
      </c>
      <c r="G27" s="251" t="str">
        <f>IFERROR(VLOOKUP('3. SCHEDULE'!$B27,'5. WO Data Masterlist'!$B25:$U332,13, FALSE)*F27, "")</f>
        <v/>
      </c>
      <c r="H27" s="204"/>
      <c r="I27" s="204"/>
      <c r="J27" s="204"/>
      <c r="K27" s="204"/>
      <c r="L27" s="210"/>
      <c r="M27" s="204"/>
      <c r="N27" s="204"/>
      <c r="O27" s="204"/>
      <c r="P27" s="210"/>
      <c r="Q27" s="204"/>
      <c r="R27" s="204"/>
      <c r="S27" s="204"/>
      <c r="T27" s="210"/>
      <c r="U27" s="204"/>
      <c r="V27" s="204"/>
      <c r="W27" s="204"/>
      <c r="X27" s="210"/>
      <c r="Y27" s="204"/>
      <c r="Z27" s="204"/>
      <c r="AA27" s="204"/>
      <c r="AB27" s="210"/>
      <c r="AC27" s="204"/>
      <c r="AD27" s="204"/>
      <c r="AE27" s="204"/>
      <c r="AF27" s="210"/>
      <c r="AG27" s="204"/>
      <c r="AH27" s="204"/>
      <c r="AI27" s="204"/>
      <c r="AJ27" s="204"/>
      <c r="AK27" s="210"/>
      <c r="AL27" s="204"/>
      <c r="AM27" s="204"/>
      <c r="AN27" s="204"/>
      <c r="AO27" s="204"/>
      <c r="AP27" s="210"/>
      <c r="AQ27" s="204"/>
      <c r="AR27" s="204"/>
      <c r="AS27" s="204"/>
      <c r="AT27" s="210"/>
      <c r="AU27" s="204"/>
      <c r="AV27" s="204"/>
      <c r="AW27" s="204"/>
      <c r="AX27" s="204"/>
      <c r="AY27" s="210"/>
      <c r="AZ27" s="204"/>
      <c r="BA27" s="204"/>
      <c r="BB27" s="204"/>
      <c r="BC27" s="210"/>
      <c r="BD27" s="204"/>
      <c r="BE27" s="204"/>
      <c r="BF27" s="204"/>
      <c r="BG27" s="209"/>
    </row>
    <row r="28" spans="2:59" x14ac:dyDescent="0.25">
      <c r="B28" s="273"/>
      <c r="C28" s="54" t="str">
        <f>IFERROR(VLOOKUP('3. SCHEDULE'!$B28,'5. WO Data Masterlist'!$B26:$T333, 4, FALSE), "")</f>
        <v/>
      </c>
      <c r="D28" s="53" t="str">
        <f>IFERROR(VLOOKUP('3. SCHEDULE'!$B28,'5. WO Data Masterlist'!$B26:$T333, 5, FALSE), "")</f>
        <v/>
      </c>
      <c r="E28" s="54" t="str">
        <f>IFERROR(VLOOKUP('3. SCHEDULE'!$B28,'5. WO Data Masterlist'!$B26:$U333,7, FALSE), "")</f>
        <v/>
      </c>
      <c r="F28" s="95" t="str">
        <f>IFERROR(VLOOKUP('3. SCHEDULE'!$B28,'5. WO Data Masterlist'!$B26:$T333,8, FALSE), "")</f>
        <v/>
      </c>
      <c r="G28" s="251" t="str">
        <f>IFERROR(VLOOKUP('3. SCHEDULE'!$B28,'5. WO Data Masterlist'!$B26:$U333,13, FALSE)*F28, "")</f>
        <v/>
      </c>
      <c r="H28" s="204"/>
      <c r="I28" s="204"/>
      <c r="J28" s="204"/>
      <c r="K28" s="204"/>
      <c r="L28" s="210"/>
      <c r="M28" s="204"/>
      <c r="N28" s="204"/>
      <c r="O28" s="204"/>
      <c r="P28" s="210"/>
      <c r="Q28" s="204"/>
      <c r="R28" s="204"/>
      <c r="S28" s="204"/>
      <c r="T28" s="210"/>
      <c r="U28" s="204"/>
      <c r="V28" s="204"/>
      <c r="W28" s="204"/>
      <c r="X28" s="210"/>
      <c r="Y28" s="204"/>
      <c r="Z28" s="204"/>
      <c r="AA28" s="204"/>
      <c r="AB28" s="210"/>
      <c r="AC28" s="204"/>
      <c r="AD28" s="204"/>
      <c r="AE28" s="204"/>
      <c r="AF28" s="210"/>
      <c r="AG28" s="204"/>
      <c r="AH28" s="204"/>
      <c r="AI28" s="204"/>
      <c r="AJ28" s="204"/>
      <c r="AK28" s="210"/>
      <c r="AL28" s="204"/>
      <c r="AM28" s="204"/>
      <c r="AN28" s="204"/>
      <c r="AO28" s="204"/>
      <c r="AP28" s="210"/>
      <c r="AQ28" s="204"/>
      <c r="AR28" s="204"/>
      <c r="AS28" s="204"/>
      <c r="AT28" s="210"/>
      <c r="AU28" s="204"/>
      <c r="AV28" s="204"/>
      <c r="AW28" s="204"/>
      <c r="AX28" s="204"/>
      <c r="AY28" s="210"/>
      <c r="AZ28" s="204"/>
      <c r="BA28" s="204"/>
      <c r="BB28" s="204"/>
      <c r="BC28" s="210"/>
      <c r="BD28" s="204"/>
      <c r="BE28" s="204"/>
      <c r="BF28" s="204"/>
      <c r="BG28" s="209"/>
    </row>
    <row r="29" spans="2:59" x14ac:dyDescent="0.25">
      <c r="B29" s="273"/>
      <c r="C29" s="54" t="str">
        <f>IFERROR(VLOOKUP('3. SCHEDULE'!$B29,'5. WO Data Masterlist'!$B27:$T334, 4, FALSE), "")</f>
        <v/>
      </c>
      <c r="D29" s="53" t="str">
        <f>IFERROR(VLOOKUP('3. SCHEDULE'!$B29,'5. WO Data Masterlist'!$B27:$T334, 5, FALSE), "")</f>
        <v/>
      </c>
      <c r="E29" s="54" t="str">
        <f>IFERROR(VLOOKUP('3. SCHEDULE'!$B29,'5. WO Data Masterlist'!$B27:$U334,7, FALSE), "")</f>
        <v/>
      </c>
      <c r="F29" s="95" t="str">
        <f>IFERROR(VLOOKUP('3. SCHEDULE'!$B29,'5. WO Data Masterlist'!$B27:$T334,8, FALSE), "")</f>
        <v/>
      </c>
      <c r="G29" s="251" t="str">
        <f>IFERROR(VLOOKUP('3. SCHEDULE'!$B29,'5. WO Data Masterlist'!$B27:$U334,13, FALSE)*F29, "")</f>
        <v/>
      </c>
      <c r="H29" s="204"/>
      <c r="I29" s="204"/>
      <c r="J29" s="204"/>
      <c r="K29" s="204"/>
      <c r="L29" s="210"/>
      <c r="M29" s="204"/>
      <c r="N29" s="204"/>
      <c r="O29" s="204"/>
      <c r="P29" s="210"/>
      <c r="Q29" s="204"/>
      <c r="R29" s="204"/>
      <c r="S29" s="204"/>
      <c r="T29" s="210"/>
      <c r="U29" s="204"/>
      <c r="V29" s="204"/>
      <c r="W29" s="204"/>
      <c r="X29" s="210"/>
      <c r="Y29" s="204"/>
      <c r="Z29" s="204"/>
      <c r="AA29" s="204"/>
      <c r="AB29" s="210"/>
      <c r="AC29" s="204"/>
      <c r="AD29" s="204"/>
      <c r="AE29" s="204"/>
      <c r="AF29" s="210"/>
      <c r="AG29" s="204"/>
      <c r="AH29" s="204"/>
      <c r="AI29" s="204"/>
      <c r="AJ29" s="204"/>
      <c r="AK29" s="210"/>
      <c r="AL29" s="204"/>
      <c r="AM29" s="204"/>
      <c r="AN29" s="204"/>
      <c r="AO29" s="204"/>
      <c r="AP29" s="210"/>
      <c r="AQ29" s="204"/>
      <c r="AR29" s="204"/>
      <c r="AS29" s="204"/>
      <c r="AT29" s="210"/>
      <c r="AU29" s="204"/>
      <c r="AV29" s="204"/>
      <c r="AW29" s="204"/>
      <c r="AX29" s="204"/>
      <c r="AY29" s="210"/>
      <c r="AZ29" s="204"/>
      <c r="BA29" s="204"/>
      <c r="BB29" s="204"/>
      <c r="BC29" s="210"/>
      <c r="BD29" s="204"/>
      <c r="BE29" s="204"/>
      <c r="BF29" s="204"/>
      <c r="BG29" s="209"/>
    </row>
    <row r="30" spans="2:59" x14ac:dyDescent="0.25">
      <c r="B30" s="273"/>
      <c r="C30" s="54" t="str">
        <f>IFERROR(VLOOKUP('3. SCHEDULE'!$B30,'5. WO Data Masterlist'!$B28:$T335, 4, FALSE), "")</f>
        <v/>
      </c>
      <c r="D30" s="53" t="str">
        <f>IFERROR(VLOOKUP('3. SCHEDULE'!$B30,'5. WO Data Masterlist'!$B28:$T335, 5, FALSE), "")</f>
        <v/>
      </c>
      <c r="E30" s="54" t="str">
        <f>IFERROR(VLOOKUP('3. SCHEDULE'!$B30,'5. WO Data Masterlist'!$B28:$U335,7, FALSE), "")</f>
        <v/>
      </c>
      <c r="F30" s="95" t="str">
        <f>IFERROR(VLOOKUP('3. SCHEDULE'!$B30,'5. WO Data Masterlist'!$B28:$T335,8, FALSE), "")</f>
        <v/>
      </c>
      <c r="G30" s="251" t="str">
        <f>IFERROR(VLOOKUP('3. SCHEDULE'!$B30,'5. WO Data Masterlist'!$B28:$U335,13, FALSE)*F30, "")</f>
        <v/>
      </c>
      <c r="H30" s="204"/>
      <c r="I30" s="204"/>
      <c r="J30" s="204"/>
      <c r="K30" s="204"/>
      <c r="L30" s="210"/>
      <c r="M30" s="204"/>
      <c r="N30" s="204"/>
      <c r="O30" s="204"/>
      <c r="P30" s="210"/>
      <c r="Q30" s="204"/>
      <c r="R30" s="204"/>
      <c r="S30" s="204"/>
      <c r="T30" s="210"/>
      <c r="U30" s="204"/>
      <c r="V30" s="204"/>
      <c r="W30" s="204"/>
      <c r="X30" s="210"/>
      <c r="Y30" s="204"/>
      <c r="Z30" s="204"/>
      <c r="AA30" s="204"/>
      <c r="AB30" s="210"/>
      <c r="AC30" s="204"/>
      <c r="AD30" s="204"/>
      <c r="AE30" s="204"/>
      <c r="AF30" s="210"/>
      <c r="AG30" s="204"/>
      <c r="AH30" s="204"/>
      <c r="AI30" s="204"/>
      <c r="AJ30" s="204"/>
      <c r="AK30" s="210"/>
      <c r="AL30" s="204"/>
      <c r="AM30" s="204"/>
      <c r="AN30" s="204"/>
      <c r="AO30" s="204"/>
      <c r="AP30" s="210"/>
      <c r="AQ30" s="204"/>
      <c r="AR30" s="204"/>
      <c r="AS30" s="204"/>
      <c r="AT30" s="210"/>
      <c r="AU30" s="204"/>
      <c r="AV30" s="204"/>
      <c r="AW30" s="204"/>
      <c r="AX30" s="204"/>
      <c r="AY30" s="210"/>
      <c r="AZ30" s="204"/>
      <c r="BA30" s="204"/>
      <c r="BB30" s="204"/>
      <c r="BC30" s="210"/>
      <c r="BD30" s="204"/>
      <c r="BE30" s="204"/>
      <c r="BF30" s="204"/>
      <c r="BG30" s="209"/>
    </row>
    <row r="31" spans="2:59" x14ac:dyDescent="0.25">
      <c r="B31" s="273"/>
      <c r="C31" s="54" t="str">
        <f>IFERROR(VLOOKUP('3. SCHEDULE'!$B31,'5. WO Data Masterlist'!$B29:$T336, 4, FALSE), "")</f>
        <v/>
      </c>
      <c r="D31" s="53" t="str">
        <f>IFERROR(VLOOKUP('3. SCHEDULE'!$B31,'5. WO Data Masterlist'!$B29:$T336, 5, FALSE), "")</f>
        <v/>
      </c>
      <c r="E31" s="54" t="str">
        <f>IFERROR(VLOOKUP('3. SCHEDULE'!$B31,'5. WO Data Masterlist'!$B29:$U336,7, FALSE), "")</f>
        <v/>
      </c>
      <c r="F31" s="95" t="str">
        <f>IFERROR(VLOOKUP('3. SCHEDULE'!$B31,'5. WO Data Masterlist'!$B29:$T336,8, FALSE), "")</f>
        <v/>
      </c>
      <c r="G31" s="251" t="str">
        <f>IFERROR(VLOOKUP('3. SCHEDULE'!$B31,'5. WO Data Masterlist'!$B29:$U336,13, FALSE)*F31, "")</f>
        <v/>
      </c>
      <c r="H31" s="204"/>
      <c r="I31" s="204"/>
      <c r="J31" s="204"/>
      <c r="K31" s="204"/>
      <c r="L31" s="210"/>
      <c r="M31" s="204"/>
      <c r="N31" s="204"/>
      <c r="O31" s="204"/>
      <c r="P31" s="210"/>
      <c r="Q31" s="204"/>
      <c r="R31" s="204"/>
      <c r="S31" s="204"/>
      <c r="T31" s="210"/>
      <c r="U31" s="204"/>
      <c r="V31" s="204"/>
      <c r="W31" s="204"/>
      <c r="X31" s="210"/>
      <c r="Y31" s="204"/>
      <c r="Z31" s="204"/>
      <c r="AA31" s="204"/>
      <c r="AB31" s="210"/>
      <c r="AC31" s="204"/>
      <c r="AD31" s="204"/>
      <c r="AE31" s="204"/>
      <c r="AF31" s="210"/>
      <c r="AG31" s="204"/>
      <c r="AH31" s="204"/>
      <c r="AI31" s="204"/>
      <c r="AJ31" s="204"/>
      <c r="AK31" s="210"/>
      <c r="AL31" s="204"/>
      <c r="AM31" s="204"/>
      <c r="AN31" s="204"/>
      <c r="AO31" s="204"/>
      <c r="AP31" s="210"/>
      <c r="AQ31" s="204"/>
      <c r="AR31" s="204"/>
      <c r="AS31" s="204"/>
      <c r="AT31" s="210"/>
      <c r="AU31" s="204"/>
      <c r="AV31" s="204"/>
      <c r="AW31" s="204"/>
      <c r="AX31" s="204"/>
      <c r="AY31" s="210"/>
      <c r="AZ31" s="204"/>
      <c r="BA31" s="204"/>
      <c r="BB31" s="204"/>
      <c r="BC31" s="210"/>
      <c r="BD31" s="204"/>
      <c r="BE31" s="204"/>
      <c r="BF31" s="204"/>
      <c r="BG31" s="209"/>
    </row>
    <row r="32" spans="2:59" x14ac:dyDescent="0.25">
      <c r="B32" s="273"/>
      <c r="C32" s="54" t="str">
        <f>IFERROR(VLOOKUP('3. SCHEDULE'!$B32,'5. WO Data Masterlist'!$B30:$T337, 4, FALSE), "")</f>
        <v/>
      </c>
      <c r="D32" s="53" t="str">
        <f>IFERROR(VLOOKUP('3. SCHEDULE'!$B32,'5. WO Data Masterlist'!$B30:$T337, 5, FALSE), "")</f>
        <v/>
      </c>
      <c r="E32" s="54" t="str">
        <f>IFERROR(VLOOKUP('3. SCHEDULE'!$B32,'5. WO Data Masterlist'!$B30:$U337,7, FALSE), "")</f>
        <v/>
      </c>
      <c r="F32" s="95" t="str">
        <f>IFERROR(VLOOKUP('3. SCHEDULE'!$B32,'5. WO Data Masterlist'!$B30:$T337,8, FALSE), "")</f>
        <v/>
      </c>
      <c r="G32" s="251" t="str">
        <f>IFERROR(VLOOKUP('3. SCHEDULE'!$B32,'5. WO Data Masterlist'!$B30:$U337,13, FALSE)*F32, "")</f>
        <v/>
      </c>
      <c r="H32" s="204"/>
      <c r="I32" s="204"/>
      <c r="J32" s="204"/>
      <c r="K32" s="204"/>
      <c r="L32" s="210"/>
      <c r="M32" s="204"/>
      <c r="N32" s="204"/>
      <c r="O32" s="204"/>
      <c r="P32" s="210"/>
      <c r="Q32" s="204"/>
      <c r="R32" s="204"/>
      <c r="S32" s="204"/>
      <c r="T32" s="210"/>
      <c r="U32" s="204"/>
      <c r="V32" s="204"/>
      <c r="W32" s="204"/>
      <c r="X32" s="210"/>
      <c r="Y32" s="204"/>
      <c r="Z32" s="204"/>
      <c r="AA32" s="204"/>
      <c r="AB32" s="210"/>
      <c r="AC32" s="204"/>
      <c r="AD32" s="204"/>
      <c r="AE32" s="204"/>
      <c r="AF32" s="210"/>
      <c r="AG32" s="204"/>
      <c r="AH32" s="204"/>
      <c r="AI32" s="204"/>
      <c r="AJ32" s="204"/>
      <c r="AK32" s="210"/>
      <c r="AL32" s="204"/>
      <c r="AM32" s="204"/>
      <c r="AN32" s="204"/>
      <c r="AO32" s="204"/>
      <c r="AP32" s="210"/>
      <c r="AQ32" s="204"/>
      <c r="AR32" s="204"/>
      <c r="AS32" s="204"/>
      <c r="AT32" s="210"/>
      <c r="AU32" s="204"/>
      <c r="AV32" s="204"/>
      <c r="AW32" s="204"/>
      <c r="AX32" s="204"/>
      <c r="AY32" s="210"/>
      <c r="AZ32" s="204"/>
      <c r="BA32" s="204"/>
      <c r="BB32" s="204"/>
      <c r="BC32" s="210"/>
      <c r="BD32" s="204"/>
      <c r="BE32" s="204"/>
      <c r="BF32" s="204"/>
      <c r="BG32" s="209"/>
    </row>
    <row r="33" spans="2:59" x14ac:dyDescent="0.25">
      <c r="B33" s="273"/>
      <c r="C33" s="54" t="str">
        <f>IFERROR(VLOOKUP('3. SCHEDULE'!$B33,'5. WO Data Masterlist'!$B31:$T338, 4, FALSE), "")</f>
        <v/>
      </c>
      <c r="D33" s="53" t="str">
        <f>IFERROR(VLOOKUP('3. SCHEDULE'!$B33,'5. WO Data Masterlist'!$B31:$T338, 5, FALSE), "")</f>
        <v/>
      </c>
      <c r="E33" s="54" t="str">
        <f>IFERROR(VLOOKUP('3. SCHEDULE'!$B33,'5. WO Data Masterlist'!$B31:$U338,7, FALSE), "")</f>
        <v/>
      </c>
      <c r="F33" s="95" t="str">
        <f>IFERROR(VLOOKUP('3. SCHEDULE'!$B33,'5. WO Data Masterlist'!$B31:$T338,8, FALSE), "")</f>
        <v/>
      </c>
      <c r="G33" s="251" t="str">
        <f>IFERROR(VLOOKUP('3. SCHEDULE'!$B33,'5. WO Data Masterlist'!$B31:$U338,13, FALSE)*F33, "")</f>
        <v/>
      </c>
      <c r="H33" s="204"/>
      <c r="I33" s="204"/>
      <c r="J33" s="204"/>
      <c r="K33" s="204"/>
      <c r="L33" s="210"/>
      <c r="M33" s="204"/>
      <c r="N33" s="204"/>
      <c r="O33" s="204"/>
      <c r="P33" s="210"/>
      <c r="Q33" s="204"/>
      <c r="R33" s="204"/>
      <c r="S33" s="204"/>
      <c r="T33" s="210"/>
      <c r="U33" s="204"/>
      <c r="V33" s="204"/>
      <c r="W33" s="204"/>
      <c r="X33" s="210"/>
      <c r="Y33" s="204"/>
      <c r="Z33" s="204"/>
      <c r="AA33" s="204"/>
      <c r="AB33" s="210"/>
      <c r="AC33" s="204"/>
      <c r="AD33" s="204"/>
      <c r="AE33" s="204"/>
      <c r="AF33" s="210"/>
      <c r="AG33" s="204"/>
      <c r="AH33" s="204"/>
      <c r="AI33" s="204"/>
      <c r="AJ33" s="204"/>
      <c r="AK33" s="210"/>
      <c r="AL33" s="204"/>
      <c r="AM33" s="204"/>
      <c r="AN33" s="204"/>
      <c r="AO33" s="204"/>
      <c r="AP33" s="210"/>
      <c r="AQ33" s="204"/>
      <c r="AR33" s="204"/>
      <c r="AS33" s="204"/>
      <c r="AT33" s="210"/>
      <c r="AU33" s="204"/>
      <c r="AV33" s="204"/>
      <c r="AW33" s="204"/>
      <c r="AX33" s="204"/>
      <c r="AY33" s="210"/>
      <c r="AZ33" s="204"/>
      <c r="BA33" s="204"/>
      <c r="BB33" s="204"/>
      <c r="BC33" s="210"/>
      <c r="BD33" s="204"/>
      <c r="BE33" s="204"/>
      <c r="BF33" s="204"/>
      <c r="BG33" s="209"/>
    </row>
    <row r="34" spans="2:59" x14ac:dyDescent="0.25">
      <c r="B34" s="273"/>
      <c r="C34" s="54" t="str">
        <f>IFERROR(VLOOKUP('3. SCHEDULE'!$B34,'5. WO Data Masterlist'!$B32:$T339, 4, FALSE), "")</f>
        <v/>
      </c>
      <c r="D34" s="53" t="str">
        <f>IFERROR(VLOOKUP('3. SCHEDULE'!$B34,'5. WO Data Masterlist'!$B32:$T339, 5, FALSE), "")</f>
        <v/>
      </c>
      <c r="E34" s="54" t="str">
        <f>IFERROR(VLOOKUP('3. SCHEDULE'!$B34,'5. WO Data Masterlist'!$B32:$U339,7, FALSE), "")</f>
        <v/>
      </c>
      <c r="F34" s="95" t="str">
        <f>IFERROR(VLOOKUP('3. SCHEDULE'!$B34,'5. WO Data Masterlist'!$B32:$T339,8, FALSE), "")</f>
        <v/>
      </c>
      <c r="G34" s="251" t="str">
        <f>IFERROR(VLOOKUP('3. SCHEDULE'!$B34,'5. WO Data Masterlist'!$B32:$U339,13, FALSE)*F34, "")</f>
        <v/>
      </c>
      <c r="H34" s="204"/>
      <c r="I34" s="204"/>
      <c r="J34" s="204"/>
      <c r="K34" s="204"/>
      <c r="L34" s="210"/>
      <c r="M34" s="204"/>
      <c r="N34" s="204"/>
      <c r="O34" s="204"/>
      <c r="P34" s="210"/>
      <c r="Q34" s="204"/>
      <c r="R34" s="204"/>
      <c r="S34" s="204"/>
      <c r="T34" s="210"/>
      <c r="U34" s="204"/>
      <c r="V34" s="204"/>
      <c r="W34" s="204"/>
      <c r="X34" s="210"/>
      <c r="Y34" s="204"/>
      <c r="Z34" s="204"/>
      <c r="AA34" s="204"/>
      <c r="AB34" s="210"/>
      <c r="AC34" s="204"/>
      <c r="AD34" s="204"/>
      <c r="AE34" s="204"/>
      <c r="AF34" s="210"/>
      <c r="AG34" s="204"/>
      <c r="AH34" s="204"/>
      <c r="AI34" s="204"/>
      <c r="AJ34" s="204"/>
      <c r="AK34" s="210"/>
      <c r="AL34" s="204"/>
      <c r="AM34" s="204"/>
      <c r="AN34" s="204"/>
      <c r="AO34" s="204"/>
      <c r="AP34" s="210"/>
      <c r="AQ34" s="204"/>
      <c r="AR34" s="204"/>
      <c r="AS34" s="204"/>
      <c r="AT34" s="210"/>
      <c r="AU34" s="204"/>
      <c r="AV34" s="204"/>
      <c r="AW34" s="204"/>
      <c r="AX34" s="204"/>
      <c r="AY34" s="210"/>
      <c r="AZ34" s="204"/>
      <c r="BA34" s="204"/>
      <c r="BB34" s="204"/>
      <c r="BC34" s="210"/>
      <c r="BD34" s="204"/>
      <c r="BE34" s="204"/>
      <c r="BF34" s="204"/>
      <c r="BG34" s="209"/>
    </row>
    <row r="35" spans="2:59" x14ac:dyDescent="0.25">
      <c r="B35" s="273"/>
      <c r="C35" s="54" t="str">
        <f>IFERROR(VLOOKUP('3. SCHEDULE'!$B35,'5. WO Data Masterlist'!$B33:$T340, 4, FALSE), "")</f>
        <v/>
      </c>
      <c r="D35" s="53" t="str">
        <f>IFERROR(VLOOKUP('3. SCHEDULE'!$B35,'5. WO Data Masterlist'!$B33:$T340, 5, FALSE), "")</f>
        <v/>
      </c>
      <c r="E35" s="54" t="str">
        <f>IFERROR(VLOOKUP('3. SCHEDULE'!$B35,'5. WO Data Masterlist'!$B33:$U340,7, FALSE), "")</f>
        <v/>
      </c>
      <c r="F35" s="95" t="str">
        <f>IFERROR(VLOOKUP('3. SCHEDULE'!$B35,'5. WO Data Masterlist'!$B33:$T340,8, FALSE), "")</f>
        <v/>
      </c>
      <c r="G35" s="251" t="str">
        <f>IFERROR(VLOOKUP('3. SCHEDULE'!$B35,'5. WO Data Masterlist'!$B33:$U340,13, FALSE)*F35, "")</f>
        <v/>
      </c>
      <c r="H35" s="204"/>
      <c r="I35" s="204"/>
      <c r="J35" s="204"/>
      <c r="K35" s="204"/>
      <c r="L35" s="210"/>
      <c r="M35" s="204"/>
      <c r="N35" s="204"/>
      <c r="O35" s="204"/>
      <c r="P35" s="210"/>
      <c r="Q35" s="204"/>
      <c r="R35" s="204"/>
      <c r="S35" s="204"/>
      <c r="T35" s="210"/>
      <c r="U35" s="204"/>
      <c r="V35" s="204"/>
      <c r="W35" s="204"/>
      <c r="X35" s="210"/>
      <c r="Y35" s="204"/>
      <c r="Z35" s="204"/>
      <c r="AA35" s="204"/>
      <c r="AB35" s="210"/>
      <c r="AC35" s="204"/>
      <c r="AD35" s="204"/>
      <c r="AE35" s="204"/>
      <c r="AF35" s="210"/>
      <c r="AG35" s="204"/>
      <c r="AH35" s="204"/>
      <c r="AI35" s="204"/>
      <c r="AJ35" s="204"/>
      <c r="AK35" s="210"/>
      <c r="AL35" s="204"/>
      <c r="AM35" s="204"/>
      <c r="AN35" s="204"/>
      <c r="AO35" s="204"/>
      <c r="AP35" s="210"/>
      <c r="AQ35" s="204"/>
      <c r="AR35" s="204"/>
      <c r="AS35" s="204"/>
      <c r="AT35" s="210"/>
      <c r="AU35" s="204"/>
      <c r="AV35" s="204"/>
      <c r="AW35" s="204"/>
      <c r="AX35" s="204"/>
      <c r="AY35" s="210"/>
      <c r="AZ35" s="204"/>
      <c r="BA35" s="204"/>
      <c r="BB35" s="204"/>
      <c r="BC35" s="210"/>
      <c r="BD35" s="204"/>
      <c r="BE35" s="204"/>
      <c r="BF35" s="204"/>
      <c r="BG35" s="209"/>
    </row>
    <row r="36" spans="2:59" x14ac:dyDescent="0.25">
      <c r="B36" s="273"/>
      <c r="C36" s="54" t="str">
        <f>IFERROR(VLOOKUP('3. SCHEDULE'!$B36,'5. WO Data Masterlist'!$B34:$T341, 4, FALSE), "")</f>
        <v/>
      </c>
      <c r="D36" s="53" t="str">
        <f>IFERROR(VLOOKUP('3. SCHEDULE'!$B36,'5. WO Data Masterlist'!$B34:$T341, 5, FALSE), "")</f>
        <v/>
      </c>
      <c r="E36" s="54" t="str">
        <f>IFERROR(VLOOKUP('3. SCHEDULE'!$B36,'5. WO Data Masterlist'!$B34:$U341,7, FALSE), "")</f>
        <v/>
      </c>
      <c r="F36" s="95" t="str">
        <f>IFERROR(VLOOKUP('3. SCHEDULE'!$B36,'5. WO Data Masterlist'!$B34:$T341,8, FALSE), "")</f>
        <v/>
      </c>
      <c r="G36" s="251" t="str">
        <f>IFERROR(VLOOKUP('3. SCHEDULE'!$B36,'5. WO Data Masterlist'!$B34:$U341,13, FALSE)*F36, "")</f>
        <v/>
      </c>
      <c r="H36" s="204"/>
      <c r="I36" s="204"/>
      <c r="J36" s="204"/>
      <c r="K36" s="204"/>
      <c r="L36" s="210"/>
      <c r="M36" s="204"/>
      <c r="N36" s="204"/>
      <c r="O36" s="204"/>
      <c r="P36" s="210"/>
      <c r="Q36" s="204"/>
      <c r="R36" s="204"/>
      <c r="S36" s="204"/>
      <c r="T36" s="210"/>
      <c r="U36" s="204"/>
      <c r="V36" s="204"/>
      <c r="W36" s="204"/>
      <c r="X36" s="210"/>
      <c r="Y36" s="204"/>
      <c r="Z36" s="204"/>
      <c r="AA36" s="204"/>
      <c r="AB36" s="210"/>
      <c r="AC36" s="204"/>
      <c r="AD36" s="204"/>
      <c r="AE36" s="204"/>
      <c r="AF36" s="210"/>
      <c r="AG36" s="204"/>
      <c r="AH36" s="204"/>
      <c r="AI36" s="204"/>
      <c r="AJ36" s="204"/>
      <c r="AK36" s="210"/>
      <c r="AL36" s="204"/>
      <c r="AM36" s="204"/>
      <c r="AN36" s="204"/>
      <c r="AO36" s="204"/>
      <c r="AP36" s="210"/>
      <c r="AQ36" s="204"/>
      <c r="AR36" s="204"/>
      <c r="AS36" s="204"/>
      <c r="AT36" s="210"/>
      <c r="AU36" s="204"/>
      <c r="AV36" s="204"/>
      <c r="AW36" s="204"/>
      <c r="AX36" s="204"/>
      <c r="AY36" s="210"/>
      <c r="AZ36" s="204"/>
      <c r="BA36" s="204"/>
      <c r="BB36" s="204"/>
      <c r="BC36" s="210"/>
      <c r="BD36" s="204"/>
      <c r="BE36" s="204"/>
      <c r="BF36" s="204"/>
      <c r="BG36" s="209"/>
    </row>
    <row r="37" spans="2:59" x14ac:dyDescent="0.25">
      <c r="B37" s="273"/>
      <c r="C37" s="54" t="str">
        <f>IFERROR(VLOOKUP('3. SCHEDULE'!$B37,'5. WO Data Masterlist'!$B35:$T342, 4, FALSE), "")</f>
        <v/>
      </c>
      <c r="D37" s="53" t="str">
        <f>IFERROR(VLOOKUP('3. SCHEDULE'!$B37,'5. WO Data Masterlist'!$B35:$T342, 5, FALSE), "")</f>
        <v/>
      </c>
      <c r="E37" s="54" t="str">
        <f>IFERROR(VLOOKUP('3. SCHEDULE'!$B37,'5. WO Data Masterlist'!$B35:$U342,7, FALSE), "")</f>
        <v/>
      </c>
      <c r="F37" s="95" t="str">
        <f>IFERROR(VLOOKUP('3. SCHEDULE'!$B37,'5. WO Data Masterlist'!$B35:$T342,8, FALSE), "")</f>
        <v/>
      </c>
      <c r="G37" s="251" t="str">
        <f>IFERROR(VLOOKUP('3. SCHEDULE'!$B37,'5. WO Data Masterlist'!$B35:$U342,13, FALSE)*F37, "")</f>
        <v/>
      </c>
      <c r="H37" s="204"/>
      <c r="I37" s="204"/>
      <c r="J37" s="204"/>
      <c r="K37" s="204"/>
      <c r="L37" s="210"/>
      <c r="M37" s="204"/>
      <c r="N37" s="204"/>
      <c r="O37" s="204"/>
      <c r="P37" s="210"/>
      <c r="Q37" s="204"/>
      <c r="R37" s="204"/>
      <c r="S37" s="204"/>
      <c r="T37" s="210"/>
      <c r="U37" s="204"/>
      <c r="V37" s="204"/>
      <c r="W37" s="204"/>
      <c r="X37" s="210"/>
      <c r="Y37" s="204"/>
      <c r="Z37" s="204"/>
      <c r="AA37" s="204"/>
      <c r="AB37" s="210"/>
      <c r="AC37" s="204"/>
      <c r="AD37" s="204"/>
      <c r="AE37" s="204"/>
      <c r="AF37" s="210"/>
      <c r="AG37" s="204"/>
      <c r="AH37" s="204"/>
      <c r="AI37" s="204"/>
      <c r="AJ37" s="204"/>
      <c r="AK37" s="210"/>
      <c r="AL37" s="204"/>
      <c r="AM37" s="204"/>
      <c r="AN37" s="204"/>
      <c r="AO37" s="204"/>
      <c r="AP37" s="210"/>
      <c r="AQ37" s="204"/>
      <c r="AR37" s="204"/>
      <c r="AS37" s="204"/>
      <c r="AT37" s="210"/>
      <c r="AU37" s="204"/>
      <c r="AV37" s="204"/>
      <c r="AW37" s="204"/>
      <c r="AX37" s="204"/>
      <c r="AY37" s="210"/>
      <c r="AZ37" s="204"/>
      <c r="BA37" s="204"/>
      <c r="BB37" s="204"/>
      <c r="BC37" s="210"/>
      <c r="BD37" s="204"/>
      <c r="BE37" s="204"/>
      <c r="BF37" s="204"/>
      <c r="BG37" s="209"/>
    </row>
    <row r="38" spans="2:59" x14ac:dyDescent="0.25">
      <c r="B38" s="273"/>
      <c r="C38" s="54" t="str">
        <f>IFERROR(VLOOKUP('3. SCHEDULE'!$B38,'5. WO Data Masterlist'!$B36:$T343, 4, FALSE), "")</f>
        <v/>
      </c>
      <c r="D38" s="53" t="str">
        <f>IFERROR(VLOOKUP('3. SCHEDULE'!$B38,'5. WO Data Masterlist'!$B36:$T343, 5, FALSE), "")</f>
        <v/>
      </c>
      <c r="E38" s="54" t="str">
        <f>IFERROR(VLOOKUP('3. SCHEDULE'!$B38,'5. WO Data Masterlist'!$B36:$U343,7, FALSE), "")</f>
        <v/>
      </c>
      <c r="F38" s="95" t="str">
        <f>IFERROR(VLOOKUP('3. SCHEDULE'!$B38,'5. WO Data Masterlist'!$B36:$T343,8, FALSE), "")</f>
        <v/>
      </c>
      <c r="G38" s="251" t="str">
        <f>IFERROR(VLOOKUP('3. SCHEDULE'!$B38,'5. WO Data Masterlist'!$B36:$U343,13, FALSE)*F38, "")</f>
        <v/>
      </c>
      <c r="H38" s="204"/>
      <c r="I38" s="204"/>
      <c r="J38" s="204"/>
      <c r="K38" s="204"/>
      <c r="L38" s="210"/>
      <c r="M38" s="204"/>
      <c r="N38" s="204"/>
      <c r="O38" s="204"/>
      <c r="P38" s="210"/>
      <c r="Q38" s="204"/>
      <c r="R38" s="204"/>
      <c r="S38" s="204"/>
      <c r="T38" s="210"/>
      <c r="U38" s="204"/>
      <c r="V38" s="204"/>
      <c r="W38" s="204"/>
      <c r="X38" s="210"/>
      <c r="Y38" s="204"/>
      <c r="Z38" s="204"/>
      <c r="AA38" s="204"/>
      <c r="AB38" s="210"/>
      <c r="AC38" s="204"/>
      <c r="AD38" s="204"/>
      <c r="AE38" s="204"/>
      <c r="AF38" s="210"/>
      <c r="AG38" s="204"/>
      <c r="AH38" s="204"/>
      <c r="AI38" s="204"/>
      <c r="AJ38" s="204"/>
      <c r="AK38" s="210"/>
      <c r="AL38" s="204"/>
      <c r="AM38" s="204"/>
      <c r="AN38" s="204"/>
      <c r="AO38" s="204"/>
      <c r="AP38" s="210"/>
      <c r="AQ38" s="204"/>
      <c r="AR38" s="204"/>
      <c r="AS38" s="204"/>
      <c r="AT38" s="210"/>
      <c r="AU38" s="204"/>
      <c r="AV38" s="204"/>
      <c r="AW38" s="204"/>
      <c r="AX38" s="204"/>
      <c r="AY38" s="210"/>
      <c r="AZ38" s="204"/>
      <c r="BA38" s="204"/>
      <c r="BB38" s="204"/>
      <c r="BC38" s="210"/>
      <c r="BD38" s="204"/>
      <c r="BE38" s="204"/>
      <c r="BF38" s="204"/>
      <c r="BG38" s="209"/>
    </row>
    <row r="39" spans="2:59" x14ac:dyDescent="0.25">
      <c r="B39" s="273"/>
      <c r="C39" s="54" t="str">
        <f>IFERROR(VLOOKUP('3. SCHEDULE'!$B39,'5. WO Data Masterlist'!$B37:$T344, 4, FALSE), "")</f>
        <v/>
      </c>
      <c r="D39" s="53" t="str">
        <f>IFERROR(VLOOKUP('3. SCHEDULE'!$B39,'5. WO Data Masterlist'!$B37:$T344, 5, FALSE), "")</f>
        <v/>
      </c>
      <c r="E39" s="54" t="str">
        <f>IFERROR(VLOOKUP('3. SCHEDULE'!$B39,'5. WO Data Masterlist'!$B37:$U344,7, FALSE), "")</f>
        <v/>
      </c>
      <c r="F39" s="95" t="str">
        <f>IFERROR(VLOOKUP('3. SCHEDULE'!$B39,'5. WO Data Masterlist'!$B37:$T344,8, FALSE), "")</f>
        <v/>
      </c>
      <c r="G39" s="251" t="str">
        <f>IFERROR(VLOOKUP('3. SCHEDULE'!$B39,'5. WO Data Masterlist'!$B37:$U344,13, FALSE)*F39, "")</f>
        <v/>
      </c>
      <c r="H39" s="204"/>
      <c r="I39" s="204"/>
      <c r="J39" s="204"/>
      <c r="K39" s="204"/>
      <c r="L39" s="210"/>
      <c r="M39" s="204"/>
      <c r="N39" s="204"/>
      <c r="O39" s="204"/>
      <c r="P39" s="210"/>
      <c r="Q39" s="204"/>
      <c r="R39" s="204"/>
      <c r="S39" s="204"/>
      <c r="T39" s="210"/>
      <c r="U39" s="204"/>
      <c r="V39" s="204"/>
      <c r="W39" s="204"/>
      <c r="X39" s="210"/>
      <c r="Y39" s="204"/>
      <c r="Z39" s="204"/>
      <c r="AA39" s="204"/>
      <c r="AB39" s="210"/>
      <c r="AC39" s="204"/>
      <c r="AD39" s="204"/>
      <c r="AE39" s="204"/>
      <c r="AF39" s="210"/>
      <c r="AG39" s="204"/>
      <c r="AH39" s="204"/>
      <c r="AI39" s="204"/>
      <c r="AJ39" s="204"/>
      <c r="AK39" s="210"/>
      <c r="AL39" s="204"/>
      <c r="AM39" s="204"/>
      <c r="AN39" s="204"/>
      <c r="AO39" s="204"/>
      <c r="AP39" s="210"/>
      <c r="AQ39" s="204"/>
      <c r="AR39" s="204"/>
      <c r="AS39" s="204"/>
      <c r="AT39" s="210"/>
      <c r="AU39" s="204"/>
      <c r="AV39" s="204"/>
      <c r="AW39" s="204"/>
      <c r="AX39" s="204"/>
      <c r="AY39" s="210"/>
      <c r="AZ39" s="204"/>
      <c r="BA39" s="204"/>
      <c r="BB39" s="204"/>
      <c r="BC39" s="210"/>
      <c r="BD39" s="204"/>
      <c r="BE39" s="204"/>
      <c r="BF39" s="204"/>
      <c r="BG39" s="209"/>
    </row>
    <row r="40" spans="2:59" x14ac:dyDescent="0.25">
      <c r="B40" s="273"/>
      <c r="C40" s="54" t="str">
        <f>IFERROR(VLOOKUP('3. SCHEDULE'!$B40,'5. WO Data Masterlist'!$B38:$T345, 4, FALSE), "")</f>
        <v/>
      </c>
      <c r="D40" s="53" t="str">
        <f>IFERROR(VLOOKUP('3. SCHEDULE'!$B40,'5. WO Data Masterlist'!$B38:$T345, 5, FALSE), "")</f>
        <v/>
      </c>
      <c r="E40" s="54" t="str">
        <f>IFERROR(VLOOKUP('3. SCHEDULE'!$B40,'5. WO Data Masterlist'!$B38:$U345,7, FALSE), "")</f>
        <v/>
      </c>
      <c r="F40" s="95" t="str">
        <f>IFERROR(VLOOKUP('3. SCHEDULE'!$B40,'5. WO Data Masterlist'!$B38:$T345,8, FALSE), "")</f>
        <v/>
      </c>
      <c r="G40" s="251" t="str">
        <f>IFERROR(VLOOKUP('3. SCHEDULE'!$B40,'5. WO Data Masterlist'!$B38:$U345,13, FALSE)*F40, "")</f>
        <v/>
      </c>
      <c r="H40" s="204"/>
      <c r="I40" s="204"/>
      <c r="J40" s="204"/>
      <c r="K40" s="204"/>
      <c r="L40" s="210"/>
      <c r="M40" s="204"/>
      <c r="N40" s="204"/>
      <c r="O40" s="204"/>
      <c r="P40" s="210"/>
      <c r="Q40" s="204"/>
      <c r="R40" s="204"/>
      <c r="S40" s="204"/>
      <c r="T40" s="210"/>
      <c r="U40" s="204"/>
      <c r="V40" s="204"/>
      <c r="W40" s="204"/>
      <c r="X40" s="210"/>
      <c r="Y40" s="204"/>
      <c r="Z40" s="204"/>
      <c r="AA40" s="204"/>
      <c r="AB40" s="210"/>
      <c r="AC40" s="204"/>
      <c r="AD40" s="204"/>
      <c r="AE40" s="204"/>
      <c r="AF40" s="210"/>
      <c r="AG40" s="204"/>
      <c r="AH40" s="204"/>
      <c r="AI40" s="204"/>
      <c r="AJ40" s="204"/>
      <c r="AK40" s="210"/>
      <c r="AL40" s="204"/>
      <c r="AM40" s="204"/>
      <c r="AN40" s="204"/>
      <c r="AO40" s="204"/>
      <c r="AP40" s="210"/>
      <c r="AQ40" s="204"/>
      <c r="AR40" s="204"/>
      <c r="AS40" s="204"/>
      <c r="AT40" s="210"/>
      <c r="AU40" s="204"/>
      <c r="AV40" s="204"/>
      <c r="AW40" s="204"/>
      <c r="AX40" s="204"/>
      <c r="AY40" s="210"/>
      <c r="AZ40" s="204"/>
      <c r="BA40" s="204"/>
      <c r="BB40" s="204"/>
      <c r="BC40" s="210"/>
      <c r="BD40" s="204"/>
      <c r="BE40" s="204"/>
      <c r="BF40" s="204"/>
      <c r="BG40" s="209"/>
    </row>
    <row r="41" spans="2:59" x14ac:dyDescent="0.25">
      <c r="B41" s="273"/>
      <c r="C41" s="54" t="str">
        <f>IFERROR(VLOOKUP('3. SCHEDULE'!$B41,'5. WO Data Masterlist'!$B39:$T346, 4, FALSE), "")</f>
        <v/>
      </c>
      <c r="D41" s="53" t="str">
        <f>IFERROR(VLOOKUP('3. SCHEDULE'!$B41,'5. WO Data Masterlist'!$B39:$T346, 5, FALSE), "")</f>
        <v/>
      </c>
      <c r="E41" s="54" t="str">
        <f>IFERROR(VLOOKUP('3. SCHEDULE'!$B41,'5. WO Data Masterlist'!$B39:$U346,7, FALSE), "")</f>
        <v/>
      </c>
      <c r="F41" s="95" t="str">
        <f>IFERROR(VLOOKUP('3. SCHEDULE'!$B41,'5. WO Data Masterlist'!$B39:$T346,8, FALSE), "")</f>
        <v/>
      </c>
      <c r="G41" s="251" t="str">
        <f>IFERROR(VLOOKUP('3. SCHEDULE'!$B41,'5. WO Data Masterlist'!$B39:$U346,13, FALSE)*F41, "")</f>
        <v/>
      </c>
      <c r="H41" s="204"/>
      <c r="I41" s="204"/>
      <c r="J41" s="204"/>
      <c r="K41" s="204"/>
      <c r="L41" s="210"/>
      <c r="M41" s="204"/>
      <c r="N41" s="204"/>
      <c r="O41" s="204"/>
      <c r="P41" s="210"/>
      <c r="Q41" s="204"/>
      <c r="R41" s="204"/>
      <c r="S41" s="204"/>
      <c r="T41" s="210"/>
      <c r="U41" s="204"/>
      <c r="V41" s="204"/>
      <c r="W41" s="204"/>
      <c r="X41" s="210"/>
      <c r="Y41" s="204"/>
      <c r="Z41" s="204"/>
      <c r="AA41" s="204"/>
      <c r="AB41" s="210"/>
      <c r="AC41" s="204"/>
      <c r="AD41" s="204"/>
      <c r="AE41" s="204"/>
      <c r="AF41" s="210"/>
      <c r="AG41" s="204"/>
      <c r="AH41" s="204"/>
      <c r="AI41" s="204"/>
      <c r="AJ41" s="204"/>
      <c r="AK41" s="210"/>
      <c r="AL41" s="204"/>
      <c r="AM41" s="204"/>
      <c r="AN41" s="204"/>
      <c r="AO41" s="204"/>
      <c r="AP41" s="210"/>
      <c r="AQ41" s="204"/>
      <c r="AR41" s="204"/>
      <c r="AS41" s="204"/>
      <c r="AT41" s="210"/>
      <c r="AU41" s="204"/>
      <c r="AV41" s="204"/>
      <c r="AW41" s="204"/>
      <c r="AX41" s="204"/>
      <c r="AY41" s="210"/>
      <c r="AZ41" s="204"/>
      <c r="BA41" s="204"/>
      <c r="BB41" s="204"/>
      <c r="BC41" s="210"/>
      <c r="BD41" s="204"/>
      <c r="BE41" s="204"/>
      <c r="BF41" s="204"/>
      <c r="BG41" s="209"/>
    </row>
    <row r="42" spans="2:59" x14ac:dyDescent="0.25">
      <c r="B42" s="273"/>
      <c r="C42" s="54" t="str">
        <f>IFERROR(VLOOKUP('3. SCHEDULE'!$B42,'5. WO Data Masterlist'!$B40:$T347, 4, FALSE), "")</f>
        <v/>
      </c>
      <c r="D42" s="53" t="str">
        <f>IFERROR(VLOOKUP('3. SCHEDULE'!$B42,'5. WO Data Masterlist'!$B40:$T347, 5, FALSE), "")</f>
        <v/>
      </c>
      <c r="E42" s="54" t="str">
        <f>IFERROR(VLOOKUP('3. SCHEDULE'!$B42,'5. WO Data Masterlist'!$B40:$U347,7, FALSE), "")</f>
        <v/>
      </c>
      <c r="F42" s="95" t="str">
        <f>IFERROR(VLOOKUP('3. SCHEDULE'!$B42,'5. WO Data Masterlist'!$B40:$T347,8, FALSE), "")</f>
        <v/>
      </c>
      <c r="G42" s="251" t="str">
        <f>IFERROR(VLOOKUP('3. SCHEDULE'!$B42,'5. WO Data Masterlist'!$B40:$U347,13, FALSE)*F42, "")</f>
        <v/>
      </c>
      <c r="H42" s="204"/>
      <c r="I42" s="204"/>
      <c r="J42" s="204"/>
      <c r="K42" s="204"/>
      <c r="L42" s="210"/>
      <c r="M42" s="204"/>
      <c r="N42" s="204"/>
      <c r="O42" s="204"/>
      <c r="P42" s="210"/>
      <c r="Q42" s="204"/>
      <c r="R42" s="204"/>
      <c r="S42" s="204"/>
      <c r="T42" s="210"/>
      <c r="U42" s="204"/>
      <c r="V42" s="204"/>
      <c r="W42" s="204"/>
      <c r="X42" s="210"/>
      <c r="Y42" s="204"/>
      <c r="Z42" s="204"/>
      <c r="AA42" s="204"/>
      <c r="AB42" s="210"/>
      <c r="AC42" s="204"/>
      <c r="AD42" s="204"/>
      <c r="AE42" s="204"/>
      <c r="AF42" s="210"/>
      <c r="AG42" s="204"/>
      <c r="AH42" s="204"/>
      <c r="AI42" s="204"/>
      <c r="AJ42" s="204"/>
      <c r="AK42" s="210"/>
      <c r="AL42" s="204"/>
      <c r="AM42" s="204"/>
      <c r="AN42" s="204"/>
      <c r="AO42" s="204"/>
      <c r="AP42" s="210"/>
      <c r="AQ42" s="204"/>
      <c r="AR42" s="204"/>
      <c r="AS42" s="204"/>
      <c r="AT42" s="210"/>
      <c r="AU42" s="204"/>
      <c r="AV42" s="204"/>
      <c r="AW42" s="204"/>
      <c r="AX42" s="204"/>
      <c r="AY42" s="210"/>
      <c r="AZ42" s="204"/>
      <c r="BA42" s="204"/>
      <c r="BB42" s="204"/>
      <c r="BC42" s="210"/>
      <c r="BD42" s="204"/>
      <c r="BE42" s="204"/>
      <c r="BF42" s="204"/>
      <c r="BG42" s="209"/>
    </row>
    <row r="43" spans="2:59" x14ac:dyDescent="0.25">
      <c r="B43" s="273"/>
      <c r="C43" s="54" t="str">
        <f>IFERROR(VLOOKUP('3. SCHEDULE'!$B43,'5. WO Data Masterlist'!$B41:$T348, 4, FALSE), "")</f>
        <v/>
      </c>
      <c r="D43" s="53" t="str">
        <f>IFERROR(VLOOKUP('3. SCHEDULE'!$B43,'5. WO Data Masterlist'!$B41:$T348, 5, FALSE), "")</f>
        <v/>
      </c>
      <c r="E43" s="54" t="str">
        <f>IFERROR(VLOOKUP('3. SCHEDULE'!$B43,'5. WO Data Masterlist'!$B41:$U348,7, FALSE), "")</f>
        <v/>
      </c>
      <c r="F43" s="95" t="str">
        <f>IFERROR(VLOOKUP('3. SCHEDULE'!$B43,'5. WO Data Masterlist'!$B41:$T348,8, FALSE), "")</f>
        <v/>
      </c>
      <c r="G43" s="251" t="str">
        <f>IFERROR(VLOOKUP('3. SCHEDULE'!$B43,'5. WO Data Masterlist'!$B41:$U348,13, FALSE)*F43, "")</f>
        <v/>
      </c>
      <c r="H43" s="204"/>
      <c r="I43" s="204"/>
      <c r="J43" s="204"/>
      <c r="K43" s="204"/>
      <c r="L43" s="210"/>
      <c r="M43" s="204"/>
      <c r="N43" s="204"/>
      <c r="O43" s="204"/>
      <c r="P43" s="210"/>
      <c r="Q43" s="204"/>
      <c r="R43" s="204"/>
      <c r="S43" s="204"/>
      <c r="T43" s="210"/>
      <c r="U43" s="204"/>
      <c r="V43" s="204"/>
      <c r="W43" s="204"/>
      <c r="X43" s="210"/>
      <c r="Y43" s="204"/>
      <c r="Z43" s="204"/>
      <c r="AA43" s="204"/>
      <c r="AB43" s="210"/>
      <c r="AC43" s="204"/>
      <c r="AD43" s="204"/>
      <c r="AE43" s="204"/>
      <c r="AF43" s="210"/>
      <c r="AG43" s="204"/>
      <c r="AH43" s="204"/>
      <c r="AI43" s="204"/>
      <c r="AJ43" s="204"/>
      <c r="AK43" s="210"/>
      <c r="AL43" s="204"/>
      <c r="AM43" s="204"/>
      <c r="AN43" s="204"/>
      <c r="AO43" s="204"/>
      <c r="AP43" s="210"/>
      <c r="AQ43" s="204"/>
      <c r="AR43" s="204"/>
      <c r="AS43" s="204"/>
      <c r="AT43" s="210"/>
      <c r="AU43" s="204"/>
      <c r="AV43" s="204"/>
      <c r="AW43" s="204"/>
      <c r="AX43" s="204"/>
      <c r="AY43" s="210"/>
      <c r="AZ43" s="204"/>
      <c r="BA43" s="204"/>
      <c r="BB43" s="204"/>
      <c r="BC43" s="210"/>
      <c r="BD43" s="204"/>
      <c r="BE43" s="204"/>
      <c r="BF43" s="204"/>
      <c r="BG43" s="209"/>
    </row>
    <row r="44" spans="2:59" ht="15.75" thickBot="1" x14ac:dyDescent="0.3">
      <c r="B44" s="274"/>
      <c r="C44" s="253" t="str">
        <f>IFERROR(VLOOKUP('3. SCHEDULE'!$B44,'5. WO Data Masterlist'!$B42:$T349, 4, FALSE), "")</f>
        <v/>
      </c>
      <c r="D44" s="254" t="str">
        <f>IFERROR(VLOOKUP('3. SCHEDULE'!$B44,'5. WO Data Masterlist'!$B42:$T349, 5, FALSE), "")</f>
        <v/>
      </c>
      <c r="E44" s="253" t="str">
        <f>IFERROR(VLOOKUP('3. SCHEDULE'!$B44,'5. WO Data Masterlist'!$B42:$U349,7, FALSE), "")</f>
        <v/>
      </c>
      <c r="F44" s="255" t="str">
        <f>IFERROR(VLOOKUP('3. SCHEDULE'!$B44,'5. WO Data Masterlist'!$B42:$T349,8, FALSE), "")</f>
        <v/>
      </c>
      <c r="G44" s="252" t="str">
        <f>IFERROR(VLOOKUP('3. SCHEDULE'!$B44,'5. WO Data Masterlist'!$B42:$U349,13, FALSE)*F44, "")</f>
        <v/>
      </c>
      <c r="H44" s="256"/>
      <c r="I44" s="256"/>
      <c r="J44" s="256"/>
      <c r="K44" s="256"/>
      <c r="L44" s="257"/>
      <c r="M44" s="256"/>
      <c r="N44" s="256"/>
      <c r="O44" s="256"/>
      <c r="P44" s="257"/>
      <c r="Q44" s="256">
        <v>3</v>
      </c>
      <c r="R44" s="256"/>
      <c r="S44" s="256"/>
      <c r="T44" s="257"/>
      <c r="U44" s="256"/>
      <c r="V44" s="256"/>
      <c r="W44" s="256"/>
      <c r="X44" s="257"/>
      <c r="Y44" s="256"/>
      <c r="Z44" s="256"/>
      <c r="AA44" s="256"/>
      <c r="AB44" s="257"/>
      <c r="AC44" s="256"/>
      <c r="AD44" s="256"/>
      <c r="AE44" s="256"/>
      <c r="AF44" s="257"/>
      <c r="AG44" s="256"/>
      <c r="AH44" s="256"/>
      <c r="AI44" s="256"/>
      <c r="AJ44" s="256"/>
      <c r="AK44" s="257"/>
      <c r="AL44" s="256"/>
      <c r="AM44" s="256"/>
      <c r="AN44" s="256"/>
      <c r="AO44" s="256"/>
      <c r="AP44" s="257"/>
      <c r="AQ44" s="256"/>
      <c r="AR44" s="256"/>
      <c r="AS44" s="256"/>
      <c r="AT44" s="257"/>
      <c r="AU44" s="256"/>
      <c r="AV44" s="256"/>
      <c r="AW44" s="256"/>
      <c r="AX44" s="256"/>
      <c r="AY44" s="257"/>
      <c r="AZ44" s="256"/>
      <c r="BA44" s="256"/>
      <c r="BB44" s="256"/>
      <c r="BC44" s="257"/>
      <c r="BD44" s="256"/>
      <c r="BE44" s="256"/>
      <c r="BF44" s="256"/>
      <c r="BG44" s="258"/>
    </row>
  </sheetData>
  <mergeCells count="20">
    <mergeCell ref="G4:N4"/>
    <mergeCell ref="G5:N5"/>
    <mergeCell ref="G6:N6"/>
    <mergeCell ref="G3:P3"/>
    <mergeCell ref="O5:P5"/>
    <mergeCell ref="O6:P6"/>
    <mergeCell ref="O4:P4"/>
    <mergeCell ref="X15:AA15"/>
    <mergeCell ref="AB15:AE15"/>
    <mergeCell ref="AF15:AJ15"/>
    <mergeCell ref="AK15:AO15"/>
    <mergeCell ref="H14:BG14"/>
    <mergeCell ref="H15:K15"/>
    <mergeCell ref="AP15:AS15"/>
    <mergeCell ref="L15:O15"/>
    <mergeCell ref="P15:S15"/>
    <mergeCell ref="BC15:BG15"/>
    <mergeCell ref="AT15:AX15"/>
    <mergeCell ref="AY15:BB15"/>
    <mergeCell ref="T15:W15"/>
  </mergeCells>
  <pageMargins left="0.25" right="0.25" top="0.75" bottom="0.75" header="0.3" footer="0.3"/>
  <pageSetup paperSize="17" scale="45"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541E-8244-47A0-99AB-FEE19A04B871}">
  <sheetPr>
    <tabColor theme="9" tint="0.59999389629810485"/>
    <pageSetUpPr fitToPage="1"/>
  </sheetPr>
  <dimension ref="B2:O42"/>
  <sheetViews>
    <sheetView zoomScale="75" zoomScaleNormal="75" workbookViewId="0">
      <selection activeCell="E36" sqref="E36"/>
    </sheetView>
  </sheetViews>
  <sheetFormatPr defaultColWidth="9.140625" defaultRowHeight="15" x14ac:dyDescent="0.25"/>
  <cols>
    <col min="1" max="1" width="4" style="2" customWidth="1"/>
    <col min="2" max="2" width="13.28515625" style="2" customWidth="1"/>
    <col min="3" max="3" width="19" style="2" hidden="1" customWidth="1"/>
    <col min="4" max="4" width="23" style="2" customWidth="1"/>
    <col min="5" max="5" width="86" style="2" customWidth="1"/>
    <col min="6" max="6" width="13.7109375" style="2" customWidth="1"/>
    <col min="7" max="7" width="16.85546875" style="2" hidden="1" customWidth="1"/>
    <col min="8" max="8" width="12.42578125" style="2" customWidth="1"/>
    <col min="9" max="9" width="12.7109375" style="2" customWidth="1"/>
    <col min="10" max="10" width="11.140625" style="2" hidden="1" customWidth="1"/>
    <col min="11" max="11" width="17.28515625" style="2" customWidth="1"/>
    <col min="12" max="12" width="11.42578125" style="2" bestFit="1" customWidth="1"/>
    <col min="13" max="13" width="19.140625" style="2" bestFit="1" customWidth="1"/>
    <col min="14" max="14" width="20.140625" style="2" customWidth="1"/>
    <col min="15" max="15" width="16.140625" style="2" customWidth="1"/>
    <col min="16" max="16384" width="9.140625" style="2"/>
  </cols>
  <sheetData>
    <row r="2" spans="2:15" ht="15" customHeight="1" x14ac:dyDescent="0.25">
      <c r="K2" s="76"/>
      <c r="L2"/>
      <c r="M2" t="s">
        <v>419</v>
      </c>
      <c r="N2" s="76"/>
      <c r="O2" s="76"/>
    </row>
    <row r="3" spans="2:15" x14ac:dyDescent="0.25">
      <c r="K3" s="76"/>
      <c r="L3" s="47" t="s">
        <v>1019</v>
      </c>
      <c r="M3" s="67">
        <v>0</v>
      </c>
      <c r="N3" s="76"/>
      <c r="O3" s="76"/>
    </row>
    <row r="4" spans="2:15" x14ac:dyDescent="0.25">
      <c r="K4" s="76"/>
      <c r="L4" s="75" t="s">
        <v>1020</v>
      </c>
      <c r="M4" s="67">
        <v>0</v>
      </c>
      <c r="N4" s="76"/>
      <c r="O4" s="76"/>
    </row>
    <row r="5" spans="2:15" x14ac:dyDescent="0.25">
      <c r="K5" s="76"/>
      <c r="L5" s="47" t="s">
        <v>417</v>
      </c>
      <c r="M5" s="67">
        <v>0</v>
      </c>
      <c r="N5" s="76"/>
      <c r="O5" s="76"/>
    </row>
    <row r="6" spans="2:15" x14ac:dyDescent="0.25">
      <c r="K6" s="76"/>
      <c r="L6"/>
      <c r="M6"/>
      <c r="N6" s="76"/>
      <c r="O6" s="76"/>
    </row>
    <row r="7" spans="2:15" ht="15.75" thickBot="1" x14ac:dyDescent="0.3">
      <c r="H7" s="67"/>
      <c r="K7" s="76"/>
      <c r="L7"/>
      <c r="M7"/>
      <c r="N7" s="76"/>
      <c r="O7" s="76"/>
    </row>
    <row r="8" spans="2:15" x14ac:dyDescent="0.25">
      <c r="B8" s="233" t="s">
        <v>501</v>
      </c>
      <c r="C8" s="234"/>
      <c r="D8" s="235"/>
      <c r="E8" s="161">
        <f>'TABLE OF CONTENTS'!K13</f>
        <v>0</v>
      </c>
      <c r="K8" s="76"/>
      <c r="L8"/>
      <c r="M8"/>
      <c r="N8" s="76"/>
      <c r="O8" s="76"/>
    </row>
    <row r="9" spans="2:15" ht="15.75" customHeight="1" x14ac:dyDescent="0.25">
      <c r="B9" s="236" t="s">
        <v>502</v>
      </c>
      <c r="C9" s="237"/>
      <c r="D9" s="238"/>
      <c r="E9" s="163">
        <f>'TABLE OF CONTENTS'!K14</f>
        <v>0</v>
      </c>
      <c r="K9" s="76"/>
      <c r="L9"/>
      <c r="M9"/>
      <c r="N9" s="76"/>
      <c r="O9" s="76"/>
    </row>
    <row r="10" spans="2:15" x14ac:dyDescent="0.25">
      <c r="B10" s="236" t="s">
        <v>506</v>
      </c>
      <c r="C10" s="237"/>
      <c r="D10" s="238"/>
      <c r="E10" s="163">
        <f>'TABLE OF CONTENTS'!K15</f>
        <v>0</v>
      </c>
      <c r="K10" s="76"/>
      <c r="L10"/>
      <c r="M10"/>
      <c r="N10" s="76"/>
      <c r="O10" s="76"/>
    </row>
    <row r="11" spans="2:15" ht="15" customHeight="1" thickBot="1" x14ac:dyDescent="0.3">
      <c r="B11" s="239" t="s">
        <v>520</v>
      </c>
      <c r="C11" s="240"/>
      <c r="D11" s="241"/>
      <c r="E11" s="163">
        <f>'TABLE OF CONTENTS'!K16</f>
        <v>0</v>
      </c>
      <c r="K11" s="76"/>
      <c r="L11"/>
      <c r="M11"/>
      <c r="N11" s="76"/>
      <c r="O11" s="76"/>
    </row>
    <row r="12" spans="2:15" x14ac:dyDescent="0.25">
      <c r="B12" s="242"/>
      <c r="C12" s="242"/>
      <c r="D12" s="242"/>
      <c r="E12" s="187"/>
      <c r="K12" s="76"/>
      <c r="L12"/>
      <c r="M12"/>
      <c r="N12" s="76"/>
      <c r="O12" s="76"/>
    </row>
    <row r="13" spans="2:15" ht="15.75" x14ac:dyDescent="0.25">
      <c r="C13" s="77"/>
      <c r="K13" s="76"/>
      <c r="L13"/>
      <c r="M13"/>
      <c r="N13" s="76"/>
      <c r="O13" s="76"/>
    </row>
    <row r="14" spans="2:15" x14ac:dyDescent="0.25">
      <c r="C14" s="3"/>
      <c r="K14" s="76"/>
      <c r="L14" s="269" t="s">
        <v>1017</v>
      </c>
      <c r="M14" s="269"/>
      <c r="N14" s="76"/>
      <c r="O14" s="76"/>
    </row>
    <row r="15" spans="2:15" x14ac:dyDescent="0.25">
      <c r="K15" s="76"/>
      <c r="L15" s="268" t="s">
        <v>1016</v>
      </c>
      <c r="M15" s="244">
        <f>'TABLE OF CONTENTS'!K18</f>
        <v>0</v>
      </c>
      <c r="N15" s="76" t="s">
        <v>1021</v>
      </c>
      <c r="O15" s="76"/>
    </row>
    <row r="16" spans="2:15" x14ac:dyDescent="0.25">
      <c r="J16" s="33"/>
      <c r="K16" s="76"/>
      <c r="L16" s="268" t="s">
        <v>1018</v>
      </c>
      <c r="M16" s="260">
        <f>IFERROR(SUM(Table12[Annual Budget])/M15,0)</f>
        <v>0</v>
      </c>
      <c r="N16" s="76" t="s">
        <v>1022</v>
      </c>
      <c r="O16" s="76"/>
    </row>
    <row r="17" spans="2:15" x14ac:dyDescent="0.25">
      <c r="H17" s="3"/>
      <c r="I17" s="3"/>
      <c r="K17" s="76"/>
      <c r="L17"/>
      <c r="M17"/>
      <c r="N17" s="76"/>
      <c r="O17" s="76"/>
    </row>
    <row r="18" spans="2:15" x14ac:dyDescent="0.25">
      <c r="H18" s="174"/>
      <c r="I18" s="156"/>
      <c r="K18" s="76"/>
      <c r="L18"/>
      <c r="M18"/>
      <c r="N18" s="76"/>
      <c r="O18" s="76"/>
    </row>
    <row r="19" spans="2:15" x14ac:dyDescent="0.25">
      <c r="H19" s="3"/>
      <c r="I19" s="175"/>
      <c r="K19" s="76"/>
      <c r="L19"/>
      <c r="M19"/>
      <c r="N19" s="76"/>
      <c r="O19" s="76"/>
    </row>
    <row r="20" spans="2:15" x14ac:dyDescent="0.25">
      <c r="I20" s="5"/>
      <c r="J20" s="33"/>
      <c r="L20"/>
      <c r="M20"/>
    </row>
    <row r="21" spans="2:15" x14ac:dyDescent="0.25">
      <c r="B21" s="228" t="s">
        <v>415</v>
      </c>
      <c r="C21" s="229"/>
      <c r="D21" s="229"/>
      <c r="E21" s="229"/>
      <c r="F21" s="230"/>
      <c r="G21" s="66"/>
      <c r="H21" s="66"/>
      <c r="I21" s="83" t="s">
        <v>424</v>
      </c>
      <c r="J21" s="84"/>
      <c r="K21" s="231" t="s">
        <v>414</v>
      </c>
      <c r="L21" s="232"/>
      <c r="M21" s="232"/>
      <c r="N21" s="232"/>
    </row>
    <row r="22" spans="2:15" x14ac:dyDescent="0.25">
      <c r="B22" s="70" t="s">
        <v>1023</v>
      </c>
      <c r="C22" s="70" t="s">
        <v>418</v>
      </c>
      <c r="D22" s="70" t="s">
        <v>413</v>
      </c>
      <c r="E22" s="70" t="s">
        <v>406</v>
      </c>
      <c r="F22" s="71" t="s">
        <v>405</v>
      </c>
      <c r="G22" s="71" t="s">
        <v>404</v>
      </c>
      <c r="H22" s="71" t="s">
        <v>416</v>
      </c>
      <c r="I22" s="68" t="s">
        <v>403</v>
      </c>
      <c r="J22" s="68" t="s">
        <v>402</v>
      </c>
      <c r="K22" s="68" t="s">
        <v>401</v>
      </c>
      <c r="L22" s="68" t="s">
        <v>1</v>
      </c>
      <c r="M22" s="68" t="s">
        <v>412</v>
      </c>
      <c r="N22" s="68" t="s">
        <v>426</v>
      </c>
      <c r="O22" s="72" t="s">
        <v>411</v>
      </c>
    </row>
    <row r="23" spans="2:15" hidden="1" x14ac:dyDescent="0.25">
      <c r="B23" s="243"/>
      <c r="C23" s="65" t="e">
        <f>VLOOKUP('4. BUDGET'!$B23,'5. WO Data Masterlist'!$B15:$U322, 2, FALSE)</f>
        <v>#N/A</v>
      </c>
      <c r="D23" s="65" t="str">
        <f>IFERROR(VLOOKUP('4. BUDGET'!$B23,'5. WO Data Masterlist'!$B15:$U322, 4, FALSE), " ")</f>
        <v xml:space="preserve"> </v>
      </c>
      <c r="E23" s="65" t="str">
        <f>IFERROR(VLOOKUP('4. BUDGET'!$B23,'5. WO Data Masterlist'!$B15:$U322, 5, FALSE), " ")</f>
        <v xml:space="preserve"> </v>
      </c>
      <c r="F23" s="52" t="str">
        <f>IFERROR(VLOOKUP('4. BUDGET'!$B23,'5. WO Data Masterlist'!$B15:$U322, 7, FALSE)," ")</f>
        <v xml:space="preserve"> </v>
      </c>
      <c r="G23" s="52" t="e">
        <f>VLOOKUP('4. BUDGET'!$B23,'5. WO Data Masterlist'!$B15:$U322,8, FALSE)</f>
        <v>#N/A</v>
      </c>
      <c r="H23" s="52" t="str">
        <f>IFERROR(VLOOKUP('4. BUDGET'!$B23,'5. WO Data Masterlist'!$B15:$U322,6, FALSE)," ")</f>
        <v xml:space="preserve"> </v>
      </c>
      <c r="I23" s="51" t="str">
        <f>IFERROR(VLOOKUP('4. BUDGET'!$B23,'5. WO Data Masterlist'!$B15:$U322,13,FALSE)*'4. BUDGET'!$G23," ")</f>
        <v xml:space="preserve"> </v>
      </c>
      <c r="J23" s="51"/>
      <c r="K23" s="69" t="str">
        <f>IFERROR(VLOOKUP('4. BUDGET'!$B23,'5. WO Data Masterlist'!$B15:$U322, 16, FALSE)," ")</f>
        <v xml:space="preserve"> </v>
      </c>
      <c r="L23" s="69" t="str">
        <f>IFERROR(VLOOKUP('4. BUDGET'!$B23,'5. WO Data Masterlist'!$B15:$U322, 17, FALSE)," ")</f>
        <v xml:space="preserve"> </v>
      </c>
      <c r="M23" s="69" t="str">
        <f>IFERROR(VLOOKUP('4. BUDGET'!$B23,'5. WO Data Masterlist'!$B15:$U322, 18, FALSE)," ")</f>
        <v xml:space="preserve"> </v>
      </c>
      <c r="N23" s="69" t="str">
        <f>IFERROR(VLOOKUP('4. BUDGET'!$B23,'5. WO Data Masterlist'!$B15:$U322, 19, FALSE)," ")</f>
        <v xml:space="preserve"> </v>
      </c>
      <c r="O23" s="64" t="str">
        <f>IFERROR((('4. BUDGET'!$I23*'TABLE OF CONTENTS'!$K$34)+((('4. BUDGET'!$K23+'4. BUDGET'!$L23+'4. BUDGET'!$M23+'4. BUDGET'!$N23))*'4. BUDGET'!$G23))," ")</f>
        <v xml:space="preserve"> </v>
      </c>
    </row>
    <row r="24" spans="2:15" x14ac:dyDescent="0.25">
      <c r="B24" s="243"/>
      <c r="C24" s="73"/>
      <c r="D24" s="73"/>
      <c r="E24" s="73"/>
      <c r="F24" s="74"/>
      <c r="G24" s="74"/>
      <c r="H24" s="74"/>
      <c r="I24" s="96"/>
      <c r="J24" s="96"/>
      <c r="K24" s="97"/>
      <c r="L24" s="97"/>
      <c r="M24" s="97"/>
      <c r="N24" s="97"/>
      <c r="O24" s="259"/>
    </row>
    <row r="25" spans="2:15" x14ac:dyDescent="0.25">
      <c r="B25" s="243"/>
      <c r="O25" s="67"/>
    </row>
    <row r="26" spans="2:15" x14ac:dyDescent="0.25">
      <c r="B26" s="243"/>
    </row>
    <row r="27" spans="2:15" x14ac:dyDescent="0.25">
      <c r="B27" s="243"/>
    </row>
    <row r="28" spans="2:15" x14ac:dyDescent="0.25">
      <c r="B28" s="243"/>
    </row>
    <row r="29" spans="2:15" x14ac:dyDescent="0.25">
      <c r="B29" s="243"/>
    </row>
    <row r="30" spans="2:15" x14ac:dyDescent="0.25">
      <c r="B30" s="243"/>
    </row>
    <row r="31" spans="2:15" x14ac:dyDescent="0.25">
      <c r="B31" s="243"/>
    </row>
    <row r="32" spans="2:15" x14ac:dyDescent="0.25">
      <c r="B32" s="243"/>
    </row>
    <row r="33" spans="2:2" x14ac:dyDescent="0.25">
      <c r="B33" s="243"/>
    </row>
    <row r="34" spans="2:2" x14ac:dyDescent="0.25">
      <c r="B34" s="243"/>
    </row>
    <row r="35" spans="2:2" x14ac:dyDescent="0.25">
      <c r="B35" s="243"/>
    </row>
    <row r="36" spans="2:2" x14ac:dyDescent="0.25">
      <c r="B36" s="243"/>
    </row>
    <row r="37" spans="2:2" x14ac:dyDescent="0.25">
      <c r="B37" s="243"/>
    </row>
    <row r="38" spans="2:2" x14ac:dyDescent="0.25">
      <c r="B38" s="243"/>
    </row>
    <row r="39" spans="2:2" x14ac:dyDescent="0.25">
      <c r="B39" s="243"/>
    </row>
    <row r="40" spans="2:2" x14ac:dyDescent="0.25">
      <c r="B40" s="243"/>
    </row>
    <row r="41" spans="2:2" x14ac:dyDescent="0.25">
      <c r="B41" s="243"/>
    </row>
    <row r="42" spans="2:2" x14ac:dyDescent="0.25">
      <c r="B42" s="243"/>
    </row>
  </sheetData>
  <mergeCells count="8">
    <mergeCell ref="B21:F21"/>
    <mergeCell ref="K21:N21"/>
    <mergeCell ref="B8:D8"/>
    <mergeCell ref="B9:D9"/>
    <mergeCell ref="B10:D10"/>
    <mergeCell ref="B11:D11"/>
    <mergeCell ref="B12:D12"/>
    <mergeCell ref="L14:M14"/>
  </mergeCells>
  <pageMargins left="0.7" right="0.7" top="0.75" bottom="0.75" header="0.3" footer="0.3"/>
  <pageSetup scale="36" orientation="landscape" horizontalDpi="1200" verticalDpi="1200"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752E-BA80-4FD2-ABE7-686BA9E21B6D}">
  <sheetPr>
    <tabColor rgb="FFEAEEF3"/>
  </sheetPr>
  <dimension ref="A1:V322"/>
  <sheetViews>
    <sheetView zoomScale="75" zoomScaleNormal="75" workbookViewId="0">
      <selection activeCell="M328" sqref="M328"/>
    </sheetView>
  </sheetViews>
  <sheetFormatPr defaultColWidth="9.140625" defaultRowHeight="15" x14ac:dyDescent="0.25"/>
  <cols>
    <col min="1" max="1" width="11" style="2" customWidth="1"/>
    <col min="2" max="2" width="14.140625" style="2" customWidth="1"/>
    <col min="3" max="3" width="21.140625" style="2" customWidth="1"/>
    <col min="4" max="4" width="20.7109375" style="2" customWidth="1"/>
    <col min="5" max="5" width="23.7109375" style="6" customWidth="1"/>
    <col min="6" max="6" width="51.42578125" style="2" customWidth="1"/>
    <col min="7" max="7" width="12.7109375" style="91" customWidth="1"/>
    <col min="8" max="8" width="13.85546875" style="91" customWidth="1"/>
    <col min="9" max="9" width="12.42578125" style="91" customWidth="1"/>
    <col min="10" max="10" width="12.7109375" style="91" customWidth="1"/>
    <col min="11" max="11" width="14.7109375" style="91" customWidth="1"/>
    <col min="12" max="12" width="11.85546875" style="91" customWidth="1"/>
    <col min="13" max="13" width="31.28515625" style="91" customWidth="1"/>
    <col min="14" max="14" width="14.7109375" style="91" customWidth="1"/>
    <col min="15" max="18" width="14.7109375" style="2" customWidth="1"/>
    <col min="19" max="19" width="14.28515625" style="2" bestFit="1" customWidth="1"/>
    <col min="20" max="20" width="11.5703125" style="2" bestFit="1" customWidth="1"/>
    <col min="21" max="21" width="14" style="2" customWidth="1"/>
    <col min="22" max="16384" width="9.140625" style="2"/>
  </cols>
  <sheetData>
    <row r="1" spans="1:22" x14ac:dyDescent="0.25">
      <c r="E1" s="8"/>
      <c r="F1" s="3"/>
    </row>
    <row r="2" spans="1:22" x14ac:dyDescent="0.25">
      <c r="D2" s="39"/>
      <c r="E2" s="4"/>
      <c r="F2" s="4"/>
    </row>
    <row r="3" spans="1:22" ht="15" customHeight="1" x14ac:dyDescent="0.25">
      <c r="D3" s="39"/>
      <c r="F3" s="40"/>
      <c r="J3" s="74"/>
      <c r="K3" s="97"/>
    </row>
    <row r="4" spans="1:22" x14ac:dyDescent="0.25">
      <c r="F4" s="40"/>
      <c r="J4" s="74"/>
      <c r="K4" s="97"/>
    </row>
    <row r="5" spans="1:22" x14ac:dyDescent="0.25">
      <c r="J5" s="74"/>
      <c r="K5" s="97"/>
    </row>
    <row r="6" spans="1:22" x14ac:dyDescent="0.25">
      <c r="F6" s="91"/>
      <c r="J6" s="74"/>
      <c r="K6" s="97"/>
    </row>
    <row r="7" spans="1:22" ht="15.75" x14ac:dyDescent="0.25">
      <c r="B7" s="99"/>
      <c r="C7" s="3"/>
      <c r="D7" s="3"/>
      <c r="J7" s="74"/>
      <c r="K7" s="97"/>
    </row>
    <row r="8" spans="1:22" ht="15.75" x14ac:dyDescent="0.25">
      <c r="B8" s="79"/>
      <c r="C8" s="79"/>
      <c r="D8" s="3"/>
      <c r="J8" s="74"/>
      <c r="K8" s="97"/>
    </row>
    <row r="9" spans="1:22" ht="15.75" x14ac:dyDescent="0.25">
      <c r="B9" s="79"/>
      <c r="C9" s="79"/>
      <c r="D9" s="3"/>
      <c r="J9" s="74"/>
      <c r="K9" s="97"/>
    </row>
    <row r="10" spans="1:22" ht="15.75" x14ac:dyDescent="0.25">
      <c r="B10" s="79"/>
      <c r="C10" s="79"/>
      <c r="D10" s="3"/>
    </row>
    <row r="11" spans="1:22" ht="15.75" x14ac:dyDescent="0.25">
      <c r="B11" s="79"/>
      <c r="C11" s="79"/>
      <c r="D11" s="3"/>
    </row>
    <row r="12" spans="1:22" s="7" customFormat="1" ht="30" customHeight="1" x14ac:dyDescent="0.25">
      <c r="A12" s="38"/>
      <c r="B12" s="77"/>
      <c r="C12" s="86"/>
      <c r="D12" s="3"/>
      <c r="E12" s="6"/>
      <c r="F12" s="2"/>
      <c r="G12" s="101"/>
      <c r="H12" s="101"/>
      <c r="I12" s="101"/>
      <c r="J12" s="101"/>
      <c r="K12" s="101"/>
      <c r="L12" s="101"/>
      <c r="M12" s="91"/>
      <c r="N12" s="101"/>
      <c r="R12" s="2"/>
    </row>
    <row r="13" spans="1:22" ht="15.75" x14ac:dyDescent="0.25">
      <c r="A13" s="1" t="s">
        <v>3</v>
      </c>
    </row>
    <row r="14" spans="1:22" x14ac:dyDescent="0.25">
      <c r="B14" s="2">
        <v>1</v>
      </c>
      <c r="C14" s="2">
        <v>2</v>
      </c>
      <c r="D14" s="2">
        <v>3</v>
      </c>
      <c r="E14" s="2">
        <v>4</v>
      </c>
      <c r="F14" s="6">
        <v>5</v>
      </c>
      <c r="G14" s="91">
        <v>6</v>
      </c>
      <c r="H14" s="91">
        <v>7</v>
      </c>
      <c r="I14" s="91">
        <v>8</v>
      </c>
      <c r="J14" s="91">
        <v>9</v>
      </c>
      <c r="K14" s="91">
        <v>10</v>
      </c>
      <c r="L14" s="91">
        <v>11</v>
      </c>
      <c r="M14" s="91">
        <v>12</v>
      </c>
      <c r="N14" s="91">
        <v>13</v>
      </c>
      <c r="O14" s="2">
        <v>14</v>
      </c>
      <c r="P14" s="2">
        <v>15</v>
      </c>
      <c r="Q14" s="2">
        <v>16</v>
      </c>
      <c r="R14" s="2">
        <v>17</v>
      </c>
      <c r="S14" s="2">
        <v>18</v>
      </c>
      <c r="T14" s="2">
        <v>19</v>
      </c>
    </row>
    <row r="15" spans="1:22" ht="60" x14ac:dyDescent="0.25">
      <c r="A15" s="25" t="s">
        <v>500</v>
      </c>
      <c r="B15" s="23" t="s">
        <v>0</v>
      </c>
      <c r="C15" s="24" t="s">
        <v>16</v>
      </c>
      <c r="D15" s="24" t="s">
        <v>17</v>
      </c>
      <c r="E15" s="24" t="s">
        <v>18</v>
      </c>
      <c r="F15" s="25" t="s">
        <v>4</v>
      </c>
      <c r="G15" s="49" t="s">
        <v>203</v>
      </c>
      <c r="H15" s="49" t="s">
        <v>7</v>
      </c>
      <c r="I15" s="49" t="s">
        <v>201</v>
      </c>
      <c r="J15" s="49" t="s">
        <v>200</v>
      </c>
      <c r="K15" s="49" t="s">
        <v>430</v>
      </c>
      <c r="L15" s="49" t="s">
        <v>427</v>
      </c>
      <c r="M15" s="49" t="s">
        <v>428</v>
      </c>
      <c r="N15" s="49" t="s">
        <v>429</v>
      </c>
      <c r="O15" s="25" t="s">
        <v>133</v>
      </c>
      <c r="P15" s="25" t="s">
        <v>134</v>
      </c>
      <c r="Q15" s="25" t="s">
        <v>14</v>
      </c>
      <c r="R15" s="24" t="s">
        <v>5</v>
      </c>
      <c r="S15" s="25" t="s">
        <v>6</v>
      </c>
      <c r="T15" s="26" t="s">
        <v>425</v>
      </c>
      <c r="U15" s="26" t="s">
        <v>135</v>
      </c>
      <c r="V15" s="3"/>
    </row>
    <row r="16" spans="1:22" s="9" customFormat="1" x14ac:dyDescent="0.25">
      <c r="A16" s="98" t="str">
        <f>IF(Table139159[[#This Row],[QUANTITY]]&gt;0, "YES", "NO")</f>
        <v>NO</v>
      </c>
      <c r="B16" s="34" t="s">
        <v>795</v>
      </c>
      <c r="C16" s="35" t="s">
        <v>36</v>
      </c>
      <c r="D16" s="35" t="s">
        <v>37</v>
      </c>
      <c r="E16" s="35" t="s">
        <v>46</v>
      </c>
      <c r="F16" s="35" t="s">
        <v>205</v>
      </c>
      <c r="G16" s="102" t="s">
        <v>204</v>
      </c>
      <c r="H16" s="102" t="s">
        <v>8</v>
      </c>
      <c r="I16" s="102">
        <v>1</v>
      </c>
      <c r="J16" s="102">
        <f>IFERROR(VLOOKUP(Table139159[[#This Row],[WORK ORDER]], '1. BUILDING ASSET INVENTORY'!A:K, 10, FALSE),0)</f>
        <v>0</v>
      </c>
      <c r="K16" s="102" t="str">
        <f>IFERROR(VLOOKUP(Table139159[[#This Row],[WORK ORDER]], '1. BUILDING ASSET INVENTORY'!A:L, 11, FALSE),"")</f>
        <v xml:space="preserve">m² </v>
      </c>
      <c r="L16" s="108">
        <v>1</v>
      </c>
      <c r="M16" s="196">
        <v>1.6000000000000001E-3</v>
      </c>
      <c r="N16" s="108">
        <f>Table139159[[#This Row],[OPERATOR HOURS (BASE)]]+Table139159[[#This Row],[QUANTITY]]*Table139159[[#This Row],[OPERATOR HOURS (PER UNIT)]]</f>
        <v>1</v>
      </c>
      <c r="O16" s="36">
        <f>'TABLE OF CONTENTS'!$K$34</f>
        <v>37.5</v>
      </c>
      <c r="P16" s="36">
        <f>Table139159[[#This Row],[TOTAL OPERATOR HOURS]]*Table139159[[#This Row],[OPERATOR RATE]]</f>
        <v>37.5</v>
      </c>
      <c r="Q16" s="36">
        <v>0</v>
      </c>
      <c r="R16" s="36">
        <v>100</v>
      </c>
      <c r="S16" s="36">
        <v>15</v>
      </c>
      <c r="T16" s="37"/>
      <c r="U16" s="37">
        <f>SUM(Table139159[[#This Row],[OPERATOR COST]:[UTILITIES]])*Table139159[[#This Row],[FREQUENCY   (TIMES PER YEAR)]]</f>
        <v>152.5</v>
      </c>
      <c r="V16" s="11"/>
    </row>
    <row r="17" spans="1:22" s="9" customFormat="1" x14ac:dyDescent="0.25">
      <c r="A17" s="98" t="str">
        <f>IF(Table139159[[#This Row],[QUANTITY]]&gt;0, "YES", "NO")</f>
        <v>NO</v>
      </c>
      <c r="B17" s="34" t="s">
        <v>796</v>
      </c>
      <c r="C17" s="35" t="s">
        <v>36</v>
      </c>
      <c r="D17" s="35" t="s">
        <v>37</v>
      </c>
      <c r="E17" s="35" t="s">
        <v>47</v>
      </c>
      <c r="F17" s="35" t="s">
        <v>360</v>
      </c>
      <c r="G17" s="102" t="s">
        <v>204</v>
      </c>
      <c r="H17" s="102" t="s">
        <v>8</v>
      </c>
      <c r="I17" s="102">
        <v>1</v>
      </c>
      <c r="J17" s="102">
        <f>IFERROR(VLOOKUP(Table139159[[#This Row],[WORK ORDER]], '1. BUILDING ASSET INVENTORY'!A:K, 10, FALSE),0)</f>
        <v>0</v>
      </c>
      <c r="K17" s="102" t="str">
        <f>IFERROR(VLOOKUP(Table139159[[#This Row],[WORK ORDER]], '1. BUILDING ASSET INVENTORY'!A:L, 11, FALSE),"")</f>
        <v xml:space="preserve">m² </v>
      </c>
      <c r="L17" s="108">
        <v>1</v>
      </c>
      <c r="M17" s="196">
        <v>3.2000000000000002E-3</v>
      </c>
      <c r="N17" s="108">
        <f>Table139159[[#This Row],[OPERATOR HOURS (BASE)]]+Table139159[[#This Row],[QUANTITY]]*Table139159[[#This Row],[OPERATOR HOURS (PER UNIT)]]</f>
        <v>1</v>
      </c>
      <c r="O17" s="36">
        <f>'TABLE OF CONTENTS'!$K$34</f>
        <v>37.5</v>
      </c>
      <c r="P17" s="36">
        <f>Table139159[[#This Row],[TOTAL OPERATOR HOURS]]*Table139159[[#This Row],[OPERATOR RATE]]</f>
        <v>37.5</v>
      </c>
      <c r="Q17" s="36">
        <v>0</v>
      </c>
      <c r="R17" s="36">
        <v>75</v>
      </c>
      <c r="S17" s="36">
        <v>0</v>
      </c>
      <c r="T17" s="37"/>
      <c r="U17" s="37">
        <f>SUM(Table139159[[#This Row],[OPERATOR COST]:[UTILITIES]])*Table139159[[#This Row],[FREQUENCY   (TIMES PER YEAR)]]</f>
        <v>112.5</v>
      </c>
      <c r="V17" s="11"/>
    </row>
    <row r="18" spans="1:22" s="9" customFormat="1" x14ac:dyDescent="0.25">
      <c r="A18" s="98" t="str">
        <f>IF(Table139159[[#This Row],[QUANTITY]]&gt;0, "YES", "NO")</f>
        <v>NO</v>
      </c>
      <c r="B18" s="34" t="s">
        <v>797</v>
      </c>
      <c r="C18" s="35" t="s">
        <v>36</v>
      </c>
      <c r="D18" s="35" t="s">
        <v>37</v>
      </c>
      <c r="E18" s="35" t="s">
        <v>47</v>
      </c>
      <c r="F18" s="35" t="s">
        <v>206</v>
      </c>
      <c r="G18" s="102" t="s">
        <v>204</v>
      </c>
      <c r="H18" s="102" t="s">
        <v>8</v>
      </c>
      <c r="I18" s="102">
        <v>1</v>
      </c>
      <c r="J18" s="102">
        <f>IFERROR(VLOOKUP(Table139159[[#This Row],[WORK ORDER]], '1. BUILDING ASSET INVENTORY'!A:K, 10, FALSE),0)</f>
        <v>0</v>
      </c>
      <c r="K18" s="102" t="str">
        <f>IFERROR(VLOOKUP(Table139159[[#This Row],[WORK ORDER]], '1. BUILDING ASSET INVENTORY'!A:L, 11, FALSE),"")</f>
        <v xml:space="preserve">m² </v>
      </c>
      <c r="L18" s="108">
        <v>0</v>
      </c>
      <c r="M18" s="196">
        <v>1.6000000000000001E-3</v>
      </c>
      <c r="N18" s="108">
        <f>Table139159[[#This Row],[OPERATOR HOURS (BASE)]]+Table139159[[#This Row],[QUANTITY]]*Table139159[[#This Row],[OPERATOR HOURS (PER UNIT)]]</f>
        <v>0</v>
      </c>
      <c r="O18" s="36">
        <f>'TABLE OF CONTENTS'!$K$34</f>
        <v>37.5</v>
      </c>
      <c r="P18" s="36">
        <f>Table139159[[#This Row],[TOTAL OPERATOR HOURS]]*Table139159[[#This Row],[OPERATOR RATE]]</f>
        <v>0</v>
      </c>
      <c r="Q18" s="36">
        <v>0</v>
      </c>
      <c r="R18" s="36">
        <v>0</v>
      </c>
      <c r="S18" s="36">
        <v>150</v>
      </c>
      <c r="T18" s="37"/>
      <c r="U18" s="37">
        <f>SUM(Table139159[[#This Row],[OPERATOR COST]:[UTILITIES]])*Table139159[[#This Row],[FREQUENCY   (TIMES PER YEAR)]]</f>
        <v>150</v>
      </c>
      <c r="V18" s="11"/>
    </row>
    <row r="19" spans="1:22" s="9" customFormat="1" x14ac:dyDescent="0.25">
      <c r="A19" s="98" t="str">
        <f>IF(Table139159[[#This Row],[QUANTITY]]&gt;0, "YES", "NO")</f>
        <v>NO</v>
      </c>
      <c r="B19" s="34" t="s">
        <v>798</v>
      </c>
      <c r="C19" s="35" t="s">
        <v>36</v>
      </c>
      <c r="D19" s="35" t="s">
        <v>37</v>
      </c>
      <c r="E19" s="35" t="s">
        <v>46</v>
      </c>
      <c r="F19" s="35" t="s">
        <v>377</v>
      </c>
      <c r="G19" s="102" t="s">
        <v>204</v>
      </c>
      <c r="H19" s="102" t="s">
        <v>9</v>
      </c>
      <c r="I19" s="102">
        <v>52</v>
      </c>
      <c r="J19" s="102">
        <f>IFERROR(VLOOKUP(Table139159[[#This Row],[WORK ORDER]], '1. BUILDING ASSET INVENTORY'!A:K, 10, FALSE),0)</f>
        <v>0</v>
      </c>
      <c r="K19" s="102" t="str">
        <f>IFERROR(VLOOKUP(Table139159[[#This Row],[WORK ORDER]], '1. BUILDING ASSET INVENTORY'!A:L, 11, FALSE),"")</f>
        <v xml:space="preserve">m² </v>
      </c>
      <c r="L19" s="108">
        <v>1</v>
      </c>
      <c r="M19" s="196">
        <v>1.6000000000000001E-3</v>
      </c>
      <c r="N19" s="108">
        <f>Table139159[[#This Row],[OPERATOR HOURS (BASE)]]+Table139159[[#This Row],[QUANTITY]]*Table139159[[#This Row],[OPERATOR HOURS (PER UNIT)]]</f>
        <v>1</v>
      </c>
      <c r="O19" s="36">
        <f>'TABLE OF CONTENTS'!$K$34</f>
        <v>37.5</v>
      </c>
      <c r="P19" s="36">
        <f>Table139159[[#This Row],[TOTAL OPERATOR HOURS]]*Table139159[[#This Row],[OPERATOR RATE]]</f>
        <v>37.5</v>
      </c>
      <c r="Q19" s="36">
        <v>0</v>
      </c>
      <c r="R19" s="36">
        <v>15</v>
      </c>
      <c r="S19" s="36">
        <v>5</v>
      </c>
      <c r="T19" s="37"/>
      <c r="U19" s="37">
        <f>SUM(Table139159[[#This Row],[OPERATOR COST]:[UTILITIES]])*Table139159[[#This Row],[FREQUENCY   (TIMES PER YEAR)]]</f>
        <v>2990</v>
      </c>
      <c r="V19" s="11"/>
    </row>
    <row r="20" spans="1:22" s="9" customFormat="1" hidden="1" x14ac:dyDescent="0.25">
      <c r="A20" s="98" t="str">
        <f>IF(Table139159[[#This Row],[QUANTITY]]&gt;0, "YES", "NO")</f>
        <v>NO</v>
      </c>
      <c r="B20" s="34" t="s">
        <v>879</v>
      </c>
      <c r="C20" s="12" t="s">
        <v>36</v>
      </c>
      <c r="D20" s="35" t="s">
        <v>37</v>
      </c>
      <c r="E20" s="12" t="s">
        <v>53</v>
      </c>
      <c r="F20" s="12" t="s">
        <v>53</v>
      </c>
      <c r="G20" s="103" t="s">
        <v>15</v>
      </c>
      <c r="H20" s="103" t="s">
        <v>12</v>
      </c>
      <c r="I20" s="103">
        <v>0</v>
      </c>
      <c r="J20" s="103">
        <f>IFERROR(VLOOKUP(Table139159[[#This Row],[WORK ORDER]], '1. BUILDING ASSET INVENTORY'!A:K, 10, FALSE),0)</f>
        <v>0</v>
      </c>
      <c r="K20" s="102" t="str">
        <f>IFERROR(VLOOKUP(Table139159[[#This Row],[WORK ORDER]], '1. BUILDING ASSET INVENTORY'!A:L, 11, FALSE),"")</f>
        <v/>
      </c>
      <c r="L20" s="109"/>
      <c r="M20" s="197"/>
      <c r="N20" s="109">
        <f>Table139159[[#This Row],[OPERATOR HOURS (BASE)]]+Table139159[[#This Row],[QUANTITY]]*Table139159[[#This Row],[OPERATOR HOURS (PER UNIT)]]</f>
        <v>0</v>
      </c>
      <c r="O20" s="36">
        <f>'TABLE OF CONTENTS'!$K$34</f>
        <v>37.5</v>
      </c>
      <c r="P20" s="36">
        <f>Table139159[[#This Row],[TOTAL OPERATOR HOURS]]*Table139159[[#This Row],[OPERATOR RATE]]</f>
        <v>0</v>
      </c>
      <c r="Q20" s="15">
        <v>0</v>
      </c>
      <c r="R20" s="13">
        <v>0</v>
      </c>
      <c r="S20" s="13">
        <v>0</v>
      </c>
      <c r="T20" s="28"/>
      <c r="U20" s="37">
        <f>SUM(Table139159[[#This Row],[OPERATOR COST]:[UTILITIES]])*Table139159[[#This Row],[FREQUENCY   (TIMES PER YEAR)]]</f>
        <v>0</v>
      </c>
      <c r="V20" s="11"/>
    </row>
    <row r="21" spans="1:22" s="9" customFormat="1" hidden="1" x14ac:dyDescent="0.25">
      <c r="A21" s="98" t="str">
        <f>IF(Table139159[[#This Row],[QUANTITY]]&gt;0, "YES", "NO")</f>
        <v>NO</v>
      </c>
      <c r="B21" s="34" t="s">
        <v>880</v>
      </c>
      <c r="C21" s="12" t="s">
        <v>36</v>
      </c>
      <c r="D21" s="35" t="s">
        <v>37</v>
      </c>
      <c r="E21" s="12" t="s">
        <v>53</v>
      </c>
      <c r="F21" s="12" t="s">
        <v>53</v>
      </c>
      <c r="G21" s="103" t="s">
        <v>15</v>
      </c>
      <c r="H21" s="103" t="s">
        <v>12</v>
      </c>
      <c r="I21" s="103">
        <v>0</v>
      </c>
      <c r="J21" s="103">
        <f>IFERROR(VLOOKUP(Table139159[[#This Row],[WORK ORDER]], '1. BUILDING ASSET INVENTORY'!A:K, 10, FALSE),0)</f>
        <v>0</v>
      </c>
      <c r="K21" s="102" t="str">
        <f>IFERROR(VLOOKUP(Table139159[[#This Row],[WORK ORDER]], '1. BUILDING ASSET INVENTORY'!A:L, 11, FALSE),"")</f>
        <v/>
      </c>
      <c r="L21" s="109"/>
      <c r="M21" s="197"/>
      <c r="N21" s="109">
        <f>Table139159[[#This Row],[OPERATOR HOURS (BASE)]]+Table139159[[#This Row],[QUANTITY]]*Table139159[[#This Row],[OPERATOR HOURS (PER UNIT)]]</f>
        <v>0</v>
      </c>
      <c r="O21" s="36">
        <f>'TABLE OF CONTENTS'!$K$34</f>
        <v>37.5</v>
      </c>
      <c r="P21" s="36">
        <f>Table139159[[#This Row],[TOTAL OPERATOR HOURS]]*Table139159[[#This Row],[OPERATOR RATE]]</f>
        <v>0</v>
      </c>
      <c r="Q21" s="15">
        <v>0</v>
      </c>
      <c r="R21" s="13">
        <v>0</v>
      </c>
      <c r="S21" s="13">
        <v>0</v>
      </c>
      <c r="T21" s="28"/>
      <c r="U21" s="37">
        <f>SUM(Table139159[[#This Row],[OPERATOR COST]:[UTILITIES]])*Table139159[[#This Row],[FREQUENCY   (TIMES PER YEAR)]]</f>
        <v>0</v>
      </c>
      <c r="V21" s="11"/>
    </row>
    <row r="22" spans="1:22" s="9" customFormat="1" hidden="1" x14ac:dyDescent="0.25">
      <c r="A22" s="98" t="str">
        <f>IF(Table139159[[#This Row],[QUANTITY]]&gt;0, "YES", "NO")</f>
        <v>NO</v>
      </c>
      <c r="B22" s="34" t="s">
        <v>881</v>
      </c>
      <c r="C22" s="12" t="s">
        <v>36</v>
      </c>
      <c r="D22" s="35" t="s">
        <v>37</v>
      </c>
      <c r="E22" s="12" t="s">
        <v>53</v>
      </c>
      <c r="F22" s="12" t="s">
        <v>53</v>
      </c>
      <c r="G22" s="103" t="s">
        <v>15</v>
      </c>
      <c r="H22" s="103" t="s">
        <v>12</v>
      </c>
      <c r="I22" s="103">
        <v>0</v>
      </c>
      <c r="J22" s="103">
        <f>IFERROR(VLOOKUP(Table139159[[#This Row],[WORK ORDER]], '1. BUILDING ASSET INVENTORY'!A:K, 10, FALSE),0)</f>
        <v>0</v>
      </c>
      <c r="K22" s="102" t="str">
        <f>IFERROR(VLOOKUP(Table139159[[#This Row],[WORK ORDER]], '1. BUILDING ASSET INVENTORY'!A:L, 11, FALSE),"")</f>
        <v/>
      </c>
      <c r="L22" s="109"/>
      <c r="M22" s="197"/>
      <c r="N22" s="109">
        <f>Table139159[[#This Row],[OPERATOR HOURS (BASE)]]+Table139159[[#This Row],[QUANTITY]]*Table139159[[#This Row],[OPERATOR HOURS (PER UNIT)]]</f>
        <v>0</v>
      </c>
      <c r="O22" s="36">
        <f>'TABLE OF CONTENTS'!$K$34</f>
        <v>37.5</v>
      </c>
      <c r="P22" s="36">
        <f>Table139159[[#This Row],[TOTAL OPERATOR HOURS]]*Table139159[[#This Row],[OPERATOR RATE]]</f>
        <v>0</v>
      </c>
      <c r="Q22" s="15">
        <v>0</v>
      </c>
      <c r="R22" s="13">
        <v>0</v>
      </c>
      <c r="S22" s="13">
        <v>0</v>
      </c>
      <c r="T22" s="28"/>
      <c r="U22" s="37">
        <f>SUM(Table139159[[#This Row],[OPERATOR COST]:[UTILITIES]])*Table139159[[#This Row],[FREQUENCY   (TIMES PER YEAR)]]</f>
        <v>0</v>
      </c>
      <c r="V22" s="11"/>
    </row>
    <row r="23" spans="1:22" s="9" customFormat="1" hidden="1" x14ac:dyDescent="0.25">
      <c r="A23" s="98" t="str">
        <f>IF(Table139159[[#This Row],[QUANTITY]]&gt;0, "YES", "NO")</f>
        <v>NO</v>
      </c>
      <c r="B23" s="34" t="s">
        <v>882</v>
      </c>
      <c r="C23" s="12" t="s">
        <v>36</v>
      </c>
      <c r="D23" s="35" t="s">
        <v>37</v>
      </c>
      <c r="E23" s="12" t="s">
        <v>53</v>
      </c>
      <c r="F23" s="12" t="s">
        <v>53</v>
      </c>
      <c r="G23" s="103" t="s">
        <v>15</v>
      </c>
      <c r="H23" s="103" t="s">
        <v>12</v>
      </c>
      <c r="I23" s="103">
        <v>0</v>
      </c>
      <c r="J23" s="103">
        <f>IFERROR(VLOOKUP(Table139159[[#This Row],[WORK ORDER]], '1. BUILDING ASSET INVENTORY'!A:K, 10, FALSE),0)</f>
        <v>0</v>
      </c>
      <c r="K23" s="102" t="str">
        <f>IFERROR(VLOOKUP(Table139159[[#This Row],[WORK ORDER]], '1. BUILDING ASSET INVENTORY'!A:L, 11, FALSE),"")</f>
        <v/>
      </c>
      <c r="L23" s="109"/>
      <c r="M23" s="197"/>
      <c r="N23" s="109">
        <f>Table139159[[#This Row],[OPERATOR HOURS (BASE)]]+Table139159[[#This Row],[QUANTITY]]*Table139159[[#This Row],[OPERATOR HOURS (PER UNIT)]]</f>
        <v>0</v>
      </c>
      <c r="O23" s="36">
        <f>'TABLE OF CONTENTS'!$K$34</f>
        <v>37.5</v>
      </c>
      <c r="P23" s="36">
        <f>Table139159[[#This Row],[TOTAL OPERATOR HOURS]]*Table139159[[#This Row],[OPERATOR RATE]]</f>
        <v>0</v>
      </c>
      <c r="Q23" s="15">
        <v>0</v>
      </c>
      <c r="R23" s="13">
        <v>0</v>
      </c>
      <c r="S23" s="13">
        <v>0</v>
      </c>
      <c r="T23" s="28"/>
      <c r="U23" s="37">
        <f>SUM(Table139159[[#This Row],[OPERATOR COST]:[UTILITIES]])*Table139159[[#This Row],[FREQUENCY   (TIMES PER YEAR)]]</f>
        <v>0</v>
      </c>
      <c r="V23" s="11"/>
    </row>
    <row r="24" spans="1:22" s="9" customFormat="1" x14ac:dyDescent="0.25">
      <c r="A24" s="98" t="str">
        <f>IF(Table139159[[#This Row],[QUANTITY]]&gt;0, "YES", "NO")</f>
        <v>NO</v>
      </c>
      <c r="B24" s="27" t="s">
        <v>799</v>
      </c>
      <c r="C24" s="12" t="s">
        <v>36</v>
      </c>
      <c r="D24" s="12" t="s">
        <v>38</v>
      </c>
      <c r="E24" s="12" t="s">
        <v>48</v>
      </c>
      <c r="F24" s="12" t="s">
        <v>208</v>
      </c>
      <c r="G24" s="103" t="s">
        <v>204</v>
      </c>
      <c r="H24" s="103" t="s">
        <v>13</v>
      </c>
      <c r="I24" s="103">
        <v>2</v>
      </c>
      <c r="J24" s="103">
        <f>IFERROR(VLOOKUP(Table139159[[#This Row],[WORK ORDER]], '1. BUILDING ASSET INVENTORY'!A:K, 10, FALSE),0)</f>
        <v>0</v>
      </c>
      <c r="K24" s="102" t="str">
        <f>IFERROR(VLOOKUP(Table139159[[#This Row],[WORK ORDER]], '1. BUILDING ASSET INVENTORY'!A:L, 11, FALSE),"")</f>
        <v xml:space="preserve">m² </v>
      </c>
      <c r="L24" s="109">
        <v>1</v>
      </c>
      <c r="M24" s="196">
        <v>1.6000000000000001E-3</v>
      </c>
      <c r="N24" s="109">
        <f>Table139159[[#This Row],[OPERATOR HOURS (BASE)]]+Table139159[[#This Row],[QUANTITY]]*Table139159[[#This Row],[OPERATOR HOURS (PER UNIT)]]</f>
        <v>1</v>
      </c>
      <c r="O24" s="36">
        <f>'TABLE OF CONTENTS'!$K$34</f>
        <v>37.5</v>
      </c>
      <c r="P24" s="36">
        <f>Table139159[[#This Row],[TOTAL OPERATOR HOURS]]*Table139159[[#This Row],[OPERATOR RATE]]</f>
        <v>37.5</v>
      </c>
      <c r="Q24" s="13">
        <v>300</v>
      </c>
      <c r="R24" s="13">
        <v>0</v>
      </c>
      <c r="S24" s="13">
        <v>0</v>
      </c>
      <c r="T24" s="28"/>
      <c r="U24" s="37">
        <f>SUM(Table139159[[#This Row],[OPERATOR COST]:[UTILITIES]])*Table139159[[#This Row],[FREQUENCY   (TIMES PER YEAR)]]</f>
        <v>675</v>
      </c>
      <c r="V24" s="11"/>
    </row>
    <row r="25" spans="1:22" s="9" customFormat="1" x14ac:dyDescent="0.25">
      <c r="A25" s="98" t="str">
        <f>IF(Table139159[[#This Row],[QUANTITY]]&gt;0, "YES", "NO")</f>
        <v>NO</v>
      </c>
      <c r="B25" s="27" t="s">
        <v>800</v>
      </c>
      <c r="C25" s="12" t="s">
        <v>36</v>
      </c>
      <c r="D25" s="12" t="s">
        <v>38</v>
      </c>
      <c r="E25" s="12" t="s">
        <v>48</v>
      </c>
      <c r="F25" s="12" t="s">
        <v>207</v>
      </c>
      <c r="G25" s="103" t="s">
        <v>204</v>
      </c>
      <c r="H25" s="103" t="s">
        <v>8</v>
      </c>
      <c r="I25" s="103">
        <v>1</v>
      </c>
      <c r="J25" s="103">
        <f>IFERROR(VLOOKUP(Table139159[[#This Row],[WORK ORDER]], '1. BUILDING ASSET INVENTORY'!A:K, 10, FALSE),0)</f>
        <v>0</v>
      </c>
      <c r="K25" s="102" t="str">
        <f>IFERROR(VLOOKUP(Table139159[[#This Row],[WORK ORDER]], '1. BUILDING ASSET INVENTORY'!A:L, 11, FALSE),"")</f>
        <v xml:space="preserve">m² </v>
      </c>
      <c r="L25" s="109">
        <v>1</v>
      </c>
      <c r="M25" s="197">
        <v>1.6000000000000001E-3</v>
      </c>
      <c r="N25" s="109">
        <f>Table139159[[#This Row],[OPERATOR HOURS (BASE)]]+Table139159[[#This Row],[QUANTITY]]*Table139159[[#This Row],[OPERATOR HOURS (PER UNIT)]]</f>
        <v>1</v>
      </c>
      <c r="O25" s="36">
        <f>'TABLE OF CONTENTS'!$K$34</f>
        <v>37.5</v>
      </c>
      <c r="P25" s="36">
        <f>Table139159[[#This Row],[TOTAL OPERATOR HOURS]]*Table139159[[#This Row],[OPERATOR RATE]]</f>
        <v>37.5</v>
      </c>
      <c r="Q25" s="14">
        <v>0</v>
      </c>
      <c r="R25" s="13">
        <v>0</v>
      </c>
      <c r="S25" s="13">
        <v>0</v>
      </c>
      <c r="T25" s="28"/>
      <c r="U25" s="37">
        <f>SUM(Table139159[[#This Row],[OPERATOR COST]:[UTILITIES]])*Table139159[[#This Row],[FREQUENCY   (TIMES PER YEAR)]]</f>
        <v>37.5</v>
      </c>
      <c r="V25" s="11"/>
    </row>
    <row r="26" spans="1:22" s="9" customFormat="1" x14ac:dyDescent="0.25">
      <c r="A26" s="98" t="str">
        <f>IF(Table139159[[#This Row],[QUANTITY]]&gt;0, "YES", "NO")</f>
        <v>NO</v>
      </c>
      <c r="B26" s="27" t="s">
        <v>801</v>
      </c>
      <c r="C26" s="12" t="s">
        <v>36</v>
      </c>
      <c r="D26" s="12" t="s">
        <v>38</v>
      </c>
      <c r="E26" s="12" t="s">
        <v>48</v>
      </c>
      <c r="F26" s="12" t="s">
        <v>209</v>
      </c>
      <c r="G26" s="103" t="s">
        <v>204</v>
      </c>
      <c r="H26" s="103" t="s">
        <v>12</v>
      </c>
      <c r="I26" s="103">
        <v>1</v>
      </c>
      <c r="J26" s="103">
        <f>IFERROR(VLOOKUP(Table139159[[#This Row],[WORK ORDER]], '1. BUILDING ASSET INVENTORY'!A:K, 10, FALSE),0)</f>
        <v>0</v>
      </c>
      <c r="K26" s="102" t="str">
        <f>IFERROR(VLOOKUP(Table139159[[#This Row],[WORK ORDER]], '1. BUILDING ASSET INVENTORY'!A:L, 11, FALSE),"")</f>
        <v>Each</v>
      </c>
      <c r="L26" s="109">
        <v>1</v>
      </c>
      <c r="M26" s="197">
        <v>4</v>
      </c>
      <c r="N26" s="109">
        <f>Table139159[[#This Row],[OPERATOR HOURS (BASE)]]+Table139159[[#This Row],[QUANTITY]]*Table139159[[#This Row],[OPERATOR HOURS (PER UNIT)]]</f>
        <v>1</v>
      </c>
      <c r="O26" s="36">
        <f>'TABLE OF CONTENTS'!$K$34</f>
        <v>37.5</v>
      </c>
      <c r="P26" s="36">
        <f>Table139159[[#This Row],[TOTAL OPERATOR HOURS]]*Table139159[[#This Row],[OPERATOR RATE]]</f>
        <v>37.5</v>
      </c>
      <c r="Q26" s="14">
        <f>PRODUCT(Table139159[[#This Row],[QUANTITY]],300)</f>
        <v>0</v>
      </c>
      <c r="R26" s="13">
        <v>0</v>
      </c>
      <c r="S26" s="13">
        <v>100</v>
      </c>
      <c r="T26" s="28"/>
      <c r="U26" s="37">
        <f>SUM(Table139159[[#This Row],[OPERATOR COST]:[UTILITIES]])*Table139159[[#This Row],[FREQUENCY   (TIMES PER YEAR)]]</f>
        <v>137.5</v>
      </c>
      <c r="V26" s="11"/>
    </row>
    <row r="27" spans="1:22" s="9" customFormat="1" x14ac:dyDescent="0.25">
      <c r="A27" s="98" t="str">
        <f>IF(Table139159[[#This Row],[QUANTITY]]&gt;0, "YES", "NO")</f>
        <v>NO</v>
      </c>
      <c r="B27" s="27" t="s">
        <v>802</v>
      </c>
      <c r="C27" s="12" t="s">
        <v>36</v>
      </c>
      <c r="D27" s="12" t="s">
        <v>38</v>
      </c>
      <c r="E27" s="12" t="s">
        <v>48</v>
      </c>
      <c r="F27" s="12" t="s">
        <v>210</v>
      </c>
      <c r="G27" s="103" t="s">
        <v>204</v>
      </c>
      <c r="H27" s="103" t="s">
        <v>12</v>
      </c>
      <c r="I27" s="103">
        <v>1</v>
      </c>
      <c r="J27" s="103">
        <f>IFERROR(VLOOKUP(Table139159[[#This Row],[WORK ORDER]], '1. BUILDING ASSET INVENTORY'!A:K, 10, FALSE),0)</f>
        <v>0</v>
      </c>
      <c r="K27" s="102" t="str">
        <f>IFERROR(VLOOKUP(Table139159[[#This Row],[WORK ORDER]], '1. BUILDING ASSET INVENTORY'!A:L, 11, FALSE),"")</f>
        <v>Each</v>
      </c>
      <c r="L27" s="109">
        <v>1</v>
      </c>
      <c r="M27" s="197">
        <v>4</v>
      </c>
      <c r="N27" s="109">
        <f>Table139159[[#This Row],[OPERATOR HOURS (BASE)]]+Table139159[[#This Row],[QUANTITY]]*Table139159[[#This Row],[OPERATOR HOURS (PER UNIT)]]</f>
        <v>1</v>
      </c>
      <c r="O27" s="36">
        <f>'TABLE OF CONTENTS'!$K$34</f>
        <v>37.5</v>
      </c>
      <c r="P27" s="36">
        <f>Table139159[[#This Row],[TOTAL OPERATOR HOURS]]*Table139159[[#This Row],[OPERATOR RATE]]</f>
        <v>37.5</v>
      </c>
      <c r="Q27" s="14">
        <f>PRODUCT(Table139159[[#This Row],[QUANTITY]],300)</f>
        <v>0</v>
      </c>
      <c r="R27" s="13">
        <v>0</v>
      </c>
      <c r="S27" s="13">
        <v>250</v>
      </c>
      <c r="T27" s="28"/>
      <c r="U27" s="37">
        <f>SUM(Table139159[[#This Row],[OPERATOR COST]:[UTILITIES]])*Table139159[[#This Row],[FREQUENCY   (TIMES PER YEAR)]]</f>
        <v>287.5</v>
      </c>
      <c r="V27" s="11"/>
    </row>
    <row r="28" spans="1:22" s="9" customFormat="1" hidden="1" x14ac:dyDescent="0.25">
      <c r="A28" s="98" t="str">
        <f>IF(Table139159[[#This Row],[QUANTITY]]&gt;0, "YES", "NO")</f>
        <v>NO</v>
      </c>
      <c r="B28" s="27" t="s">
        <v>883</v>
      </c>
      <c r="C28" s="12" t="s">
        <v>36</v>
      </c>
      <c r="D28" s="12" t="s">
        <v>38</v>
      </c>
      <c r="E28" s="12" t="s">
        <v>53</v>
      </c>
      <c r="F28" s="12" t="s">
        <v>53</v>
      </c>
      <c r="G28" s="103" t="s">
        <v>15</v>
      </c>
      <c r="H28" s="103" t="s">
        <v>12</v>
      </c>
      <c r="I28" s="103">
        <v>0</v>
      </c>
      <c r="J28" s="103">
        <f>IFERROR(VLOOKUP(Table139159[[#This Row],[WORK ORDER]], '1. BUILDING ASSET INVENTORY'!A:K, 10, FALSE),0)</f>
        <v>0</v>
      </c>
      <c r="K28" s="102" t="str">
        <f>IFERROR(VLOOKUP(Table139159[[#This Row],[WORK ORDER]], '1. BUILDING ASSET INVENTORY'!A:L, 11, FALSE),"")</f>
        <v/>
      </c>
      <c r="L28" s="109"/>
      <c r="M28" s="197"/>
      <c r="N28" s="109">
        <f>Table139159[[#This Row],[OPERATOR HOURS (BASE)]]+Table139159[[#This Row],[QUANTITY]]*Table139159[[#This Row],[OPERATOR HOURS (PER UNIT)]]</f>
        <v>0</v>
      </c>
      <c r="O28" s="36">
        <f>'TABLE OF CONTENTS'!$K$34</f>
        <v>37.5</v>
      </c>
      <c r="P28" s="36">
        <f>Table139159[[#This Row],[TOTAL OPERATOR HOURS]]*Table139159[[#This Row],[OPERATOR RATE]]</f>
        <v>0</v>
      </c>
      <c r="Q28" s="15">
        <v>0</v>
      </c>
      <c r="R28" s="13">
        <v>0</v>
      </c>
      <c r="S28" s="13">
        <v>0</v>
      </c>
      <c r="T28" s="28"/>
      <c r="U28" s="37">
        <f>SUM(Table139159[[#This Row],[OPERATOR COST]:[UTILITIES]])*Table139159[[#This Row],[FREQUENCY   (TIMES PER YEAR)]]</f>
        <v>0</v>
      </c>
      <c r="V28" s="11"/>
    </row>
    <row r="29" spans="1:22" s="9" customFormat="1" hidden="1" x14ac:dyDescent="0.25">
      <c r="A29" s="98" t="str">
        <f>IF(Table139159[[#This Row],[QUANTITY]]&gt;0, "YES", "NO")</f>
        <v>NO</v>
      </c>
      <c r="B29" s="27" t="s">
        <v>884</v>
      </c>
      <c r="C29" s="12" t="s">
        <v>36</v>
      </c>
      <c r="D29" s="12" t="s">
        <v>38</v>
      </c>
      <c r="E29" s="12" t="s">
        <v>53</v>
      </c>
      <c r="F29" s="12" t="s">
        <v>53</v>
      </c>
      <c r="G29" s="103" t="s">
        <v>15</v>
      </c>
      <c r="H29" s="103" t="s">
        <v>12</v>
      </c>
      <c r="I29" s="103">
        <v>0</v>
      </c>
      <c r="J29" s="103">
        <f>IFERROR(VLOOKUP(Table139159[[#This Row],[WORK ORDER]], '1. BUILDING ASSET INVENTORY'!A:K, 10, FALSE),0)</f>
        <v>0</v>
      </c>
      <c r="K29" s="102" t="str">
        <f>IFERROR(VLOOKUP(Table139159[[#This Row],[WORK ORDER]], '1. BUILDING ASSET INVENTORY'!A:L, 11, FALSE),"")</f>
        <v/>
      </c>
      <c r="L29" s="109"/>
      <c r="M29" s="197"/>
      <c r="N29" s="109">
        <f>Table139159[[#This Row],[OPERATOR HOURS (BASE)]]+Table139159[[#This Row],[QUANTITY]]*Table139159[[#This Row],[OPERATOR HOURS (PER UNIT)]]</f>
        <v>0</v>
      </c>
      <c r="O29" s="36">
        <f>'TABLE OF CONTENTS'!$K$34</f>
        <v>37.5</v>
      </c>
      <c r="P29" s="36">
        <f>Table139159[[#This Row],[TOTAL OPERATOR HOURS]]*Table139159[[#This Row],[OPERATOR RATE]]</f>
        <v>0</v>
      </c>
      <c r="Q29" s="15">
        <v>0</v>
      </c>
      <c r="R29" s="13">
        <v>0</v>
      </c>
      <c r="S29" s="13">
        <v>0</v>
      </c>
      <c r="T29" s="28"/>
      <c r="U29" s="37">
        <f>SUM(Table139159[[#This Row],[OPERATOR COST]:[UTILITIES]])*Table139159[[#This Row],[FREQUENCY   (TIMES PER YEAR)]]</f>
        <v>0</v>
      </c>
      <c r="V29" s="11"/>
    </row>
    <row r="30" spans="1:22" s="9" customFormat="1" x14ac:dyDescent="0.25">
      <c r="A30" s="98" t="str">
        <f>IF(Table139159[[#This Row],[QUANTITY]]&gt;0, "YES", "NO")</f>
        <v>NO</v>
      </c>
      <c r="B30" s="27" t="s">
        <v>803</v>
      </c>
      <c r="C30" s="12" t="s">
        <v>36</v>
      </c>
      <c r="D30" s="12" t="s">
        <v>39</v>
      </c>
      <c r="E30" s="12" t="s">
        <v>49</v>
      </c>
      <c r="F30" s="12" t="s">
        <v>211</v>
      </c>
      <c r="G30" s="103" t="s">
        <v>204</v>
      </c>
      <c r="H30" s="103" t="s">
        <v>13</v>
      </c>
      <c r="I30" s="103">
        <v>2</v>
      </c>
      <c r="J30" s="103">
        <f>IFERROR(VLOOKUP(Table139159[[#This Row],[WORK ORDER]], '1. BUILDING ASSET INVENTORY'!A:K, 10, FALSE),0)</f>
        <v>0</v>
      </c>
      <c r="K30" s="102" t="str">
        <f>IFERROR(VLOOKUP(Table139159[[#This Row],[WORK ORDER]], '1. BUILDING ASSET INVENTORY'!A:L, 11, FALSE),"")</f>
        <v xml:space="preserve">m² </v>
      </c>
      <c r="L30" s="109">
        <v>1</v>
      </c>
      <c r="M30" s="196">
        <v>8.0000000000000004E-4</v>
      </c>
      <c r="N30" s="109">
        <f>Table139159[[#This Row],[OPERATOR HOURS (BASE)]]+Table139159[[#This Row],[QUANTITY]]*Table139159[[#This Row],[OPERATOR HOURS (PER UNIT)]]</f>
        <v>1</v>
      </c>
      <c r="O30" s="36">
        <f>'TABLE OF CONTENTS'!$K$34</f>
        <v>37.5</v>
      </c>
      <c r="P30" s="36">
        <f>Table139159[[#This Row],[TOTAL OPERATOR HOURS]]*Table139159[[#This Row],[OPERATOR RATE]]</f>
        <v>37.5</v>
      </c>
      <c r="Q30" s="13">
        <v>0</v>
      </c>
      <c r="R30" s="13">
        <v>0</v>
      </c>
      <c r="S30" s="13">
        <v>150</v>
      </c>
      <c r="T30" s="28"/>
      <c r="U30" s="37">
        <f>SUM(Table139159[[#This Row],[OPERATOR COST]:[UTILITIES]])*Table139159[[#This Row],[FREQUENCY   (TIMES PER YEAR)]]</f>
        <v>375</v>
      </c>
      <c r="V30" s="11"/>
    </row>
    <row r="31" spans="1:22" s="9" customFormat="1" x14ac:dyDescent="0.25">
      <c r="A31" s="98" t="str">
        <f>IF(Table139159[[#This Row],[QUANTITY]]&gt;0, "YES", "NO")</f>
        <v>NO</v>
      </c>
      <c r="B31" s="27" t="s">
        <v>804</v>
      </c>
      <c r="C31" s="12" t="s">
        <v>36</v>
      </c>
      <c r="D31" s="12" t="s">
        <v>39</v>
      </c>
      <c r="E31" s="12" t="s">
        <v>1</v>
      </c>
      <c r="F31" s="12" t="s">
        <v>551</v>
      </c>
      <c r="G31" s="103" t="s">
        <v>204</v>
      </c>
      <c r="H31" s="103" t="s">
        <v>13</v>
      </c>
      <c r="I31" s="103">
        <v>2</v>
      </c>
      <c r="J31" s="103">
        <f>IFERROR(VLOOKUP(Table139159[[#This Row],[WORK ORDER]], '1. BUILDING ASSET INVENTORY'!A:K, 10, FALSE),0)</f>
        <v>0</v>
      </c>
      <c r="K31" s="102" t="str">
        <f>IFERROR(VLOOKUP(Table139159[[#This Row],[WORK ORDER]], '1. BUILDING ASSET INVENTORY'!A:L, 11, FALSE),"")</f>
        <v>Each</v>
      </c>
      <c r="L31" s="109">
        <v>1</v>
      </c>
      <c r="M31" s="197">
        <v>4</v>
      </c>
      <c r="N31" s="109">
        <f>Table139159[[#This Row],[OPERATOR HOURS (BASE)]]+Table139159[[#This Row],[QUANTITY]]*Table139159[[#This Row],[OPERATOR HOURS (PER UNIT)]]</f>
        <v>1</v>
      </c>
      <c r="O31" s="36">
        <f>'TABLE OF CONTENTS'!$K$34</f>
        <v>37.5</v>
      </c>
      <c r="P31" s="36">
        <f>Table139159[[#This Row],[TOTAL OPERATOR HOURS]]*Table139159[[#This Row],[OPERATOR RATE]]</f>
        <v>37.5</v>
      </c>
      <c r="Q31" s="13">
        <v>0</v>
      </c>
      <c r="R31" s="13">
        <v>0</v>
      </c>
      <c r="S31" s="13">
        <v>0</v>
      </c>
      <c r="T31" s="28"/>
      <c r="U31" s="37">
        <f>SUM(Table139159[[#This Row],[OPERATOR COST]:[UTILITIES]])*Table139159[[#This Row],[FREQUENCY   (TIMES PER YEAR)]]</f>
        <v>75</v>
      </c>
      <c r="V31" s="11"/>
    </row>
    <row r="32" spans="1:22" s="9" customFormat="1" x14ac:dyDescent="0.25">
      <c r="A32" s="98" t="str">
        <f>IF(Table139159[[#This Row],[QUANTITY]]&gt;0, "YES", "NO")</f>
        <v>NO</v>
      </c>
      <c r="B32" s="27" t="s">
        <v>805</v>
      </c>
      <c r="C32" s="12" t="s">
        <v>36</v>
      </c>
      <c r="D32" s="12" t="s">
        <v>39</v>
      </c>
      <c r="E32" s="12" t="s">
        <v>49</v>
      </c>
      <c r="F32" s="12" t="s">
        <v>213</v>
      </c>
      <c r="G32" s="103" t="s">
        <v>204</v>
      </c>
      <c r="H32" s="103" t="s">
        <v>10</v>
      </c>
      <c r="I32" s="103">
        <v>12</v>
      </c>
      <c r="J32" s="103">
        <f>IFERROR(VLOOKUP(Table139159[[#This Row],[WORK ORDER]], '1. BUILDING ASSET INVENTORY'!A:K, 10, FALSE),0)</f>
        <v>0</v>
      </c>
      <c r="K32" s="102" t="str">
        <f>IFERROR(VLOOKUP(Table139159[[#This Row],[WORK ORDER]], '1. BUILDING ASSET INVENTORY'!A:L, 11, FALSE),"")</f>
        <v>Each</v>
      </c>
      <c r="L32" s="109">
        <v>1</v>
      </c>
      <c r="M32" s="197">
        <v>6</v>
      </c>
      <c r="N32" s="109">
        <f>Table139159[[#This Row],[OPERATOR HOURS (BASE)]]+Table139159[[#This Row],[QUANTITY]]*Table139159[[#This Row],[OPERATOR HOURS (PER UNIT)]]</f>
        <v>1</v>
      </c>
      <c r="O32" s="36">
        <f>'TABLE OF CONTENTS'!$K$34</f>
        <v>37.5</v>
      </c>
      <c r="P32" s="36">
        <f>Table139159[[#This Row],[TOTAL OPERATOR HOURS]]*Table139159[[#This Row],[OPERATOR RATE]]</f>
        <v>37.5</v>
      </c>
      <c r="Q32" s="13">
        <v>0</v>
      </c>
      <c r="R32" s="13">
        <v>25</v>
      </c>
      <c r="S32" s="13">
        <v>150</v>
      </c>
      <c r="T32" s="28"/>
      <c r="U32" s="37">
        <f>SUM(Table139159[[#This Row],[OPERATOR COST]:[UTILITIES]])*Table139159[[#This Row],[FREQUENCY   (TIMES PER YEAR)]]</f>
        <v>2550</v>
      </c>
      <c r="V32" s="11"/>
    </row>
    <row r="33" spans="1:22" s="9" customFormat="1" x14ac:dyDescent="0.25">
      <c r="A33" s="98" t="str">
        <f>IF(Table139159[[#This Row],[QUANTITY]]&gt;0, "YES", "NO")</f>
        <v>NO</v>
      </c>
      <c r="B33" s="27" t="s">
        <v>806</v>
      </c>
      <c r="C33" s="12" t="s">
        <v>36</v>
      </c>
      <c r="D33" s="12" t="s">
        <v>39</v>
      </c>
      <c r="E33" s="12" t="s">
        <v>49</v>
      </c>
      <c r="F33" s="12" t="s">
        <v>214</v>
      </c>
      <c r="G33" s="103" t="s">
        <v>204</v>
      </c>
      <c r="H33" s="103" t="s">
        <v>11</v>
      </c>
      <c r="I33" s="103">
        <v>4</v>
      </c>
      <c r="J33" s="103">
        <f>IFERROR(VLOOKUP(Table139159[[#This Row],[WORK ORDER]], '1. BUILDING ASSET INVENTORY'!A:K, 10, FALSE),0)</f>
        <v>0</v>
      </c>
      <c r="K33" s="102" t="str">
        <f>IFERROR(VLOOKUP(Table139159[[#This Row],[WORK ORDER]], '1. BUILDING ASSET INVENTORY'!A:L, 11, FALSE),"")</f>
        <v xml:space="preserve">m² </v>
      </c>
      <c r="L33" s="109">
        <v>1</v>
      </c>
      <c r="M33" s="196">
        <v>8.0000000000000004E-4</v>
      </c>
      <c r="N33" s="109">
        <f>Table139159[[#This Row],[OPERATOR HOURS (BASE)]]+Table139159[[#This Row],[QUANTITY]]*Table139159[[#This Row],[OPERATOR HOURS (PER UNIT)]]</f>
        <v>1</v>
      </c>
      <c r="O33" s="36">
        <f>'TABLE OF CONTENTS'!$K$34</f>
        <v>37.5</v>
      </c>
      <c r="P33" s="36">
        <f>Table139159[[#This Row],[TOTAL OPERATOR HOURS]]*Table139159[[#This Row],[OPERATOR RATE]]</f>
        <v>37.5</v>
      </c>
      <c r="Q33" s="15">
        <v>0</v>
      </c>
      <c r="R33" s="13">
        <v>0</v>
      </c>
      <c r="S33" s="13">
        <v>0</v>
      </c>
      <c r="T33" s="28"/>
      <c r="U33" s="37">
        <f>SUM(Table139159[[#This Row],[OPERATOR COST]:[UTILITIES]])*Table139159[[#This Row],[FREQUENCY   (TIMES PER YEAR)]]</f>
        <v>150</v>
      </c>
      <c r="V33" s="11"/>
    </row>
    <row r="34" spans="1:22" s="9" customFormat="1" hidden="1" x14ac:dyDescent="0.25">
      <c r="A34" s="98" t="str">
        <f>IF(Table139159[[#This Row],[QUANTITY]]&gt;0, "YES", "NO")</f>
        <v>NO</v>
      </c>
      <c r="B34" s="27" t="s">
        <v>885</v>
      </c>
      <c r="C34" s="12" t="s">
        <v>36</v>
      </c>
      <c r="D34" s="12" t="s">
        <v>39</v>
      </c>
      <c r="E34" s="12" t="s">
        <v>53</v>
      </c>
      <c r="F34" s="12" t="s">
        <v>53</v>
      </c>
      <c r="G34" s="103" t="s">
        <v>15</v>
      </c>
      <c r="H34" s="103" t="s">
        <v>12</v>
      </c>
      <c r="I34" s="103">
        <v>0</v>
      </c>
      <c r="J34" s="103">
        <f>IFERROR(VLOOKUP(Table139159[[#This Row],[WORK ORDER]], '1. BUILDING ASSET INVENTORY'!A:K, 10, FALSE),0)</f>
        <v>0</v>
      </c>
      <c r="K34" s="102" t="str">
        <f>IFERROR(VLOOKUP(Table139159[[#This Row],[WORK ORDER]], '1. BUILDING ASSET INVENTORY'!A:L, 11, FALSE),"")</f>
        <v/>
      </c>
      <c r="L34" s="109"/>
      <c r="M34" s="197"/>
      <c r="N34" s="109">
        <f>Table139159[[#This Row],[OPERATOR HOURS (BASE)]]+Table139159[[#This Row],[QUANTITY]]*Table139159[[#This Row],[OPERATOR HOURS (PER UNIT)]]</f>
        <v>0</v>
      </c>
      <c r="O34" s="36">
        <f>'TABLE OF CONTENTS'!$K$34</f>
        <v>37.5</v>
      </c>
      <c r="P34" s="36">
        <f>Table139159[[#This Row],[TOTAL OPERATOR HOURS]]*Table139159[[#This Row],[OPERATOR RATE]]</f>
        <v>0</v>
      </c>
      <c r="Q34" s="15">
        <v>0</v>
      </c>
      <c r="R34" s="13">
        <v>0</v>
      </c>
      <c r="S34" s="13">
        <v>0</v>
      </c>
      <c r="T34" s="28"/>
      <c r="U34" s="37">
        <f>SUM(Table139159[[#This Row],[OPERATOR COST]:[UTILITIES]])*Table139159[[#This Row],[FREQUENCY   (TIMES PER YEAR)]]</f>
        <v>0</v>
      </c>
      <c r="V34" s="11"/>
    </row>
    <row r="35" spans="1:22" s="9" customFormat="1" hidden="1" x14ac:dyDescent="0.25">
      <c r="A35" s="98" t="str">
        <f>IF(Table139159[[#This Row],[QUANTITY]]&gt;0, "YES", "NO")</f>
        <v>NO</v>
      </c>
      <c r="B35" s="27" t="s">
        <v>886</v>
      </c>
      <c r="C35" s="12" t="s">
        <v>36</v>
      </c>
      <c r="D35" s="12" t="s">
        <v>39</v>
      </c>
      <c r="E35" s="12" t="s">
        <v>53</v>
      </c>
      <c r="F35" s="12" t="s">
        <v>53</v>
      </c>
      <c r="G35" s="103" t="s">
        <v>15</v>
      </c>
      <c r="H35" s="103" t="s">
        <v>12</v>
      </c>
      <c r="I35" s="103">
        <v>0</v>
      </c>
      <c r="J35" s="103">
        <f>IFERROR(VLOOKUP(Table139159[[#This Row],[WORK ORDER]], '1. BUILDING ASSET INVENTORY'!A:K, 10, FALSE),0)</f>
        <v>0</v>
      </c>
      <c r="K35" s="102" t="str">
        <f>IFERROR(VLOOKUP(Table139159[[#This Row],[WORK ORDER]], '1. BUILDING ASSET INVENTORY'!A:L, 11, FALSE),"")</f>
        <v/>
      </c>
      <c r="L35" s="109"/>
      <c r="M35" s="197"/>
      <c r="N35" s="109">
        <f>Table139159[[#This Row],[OPERATOR HOURS (BASE)]]+Table139159[[#This Row],[QUANTITY]]*Table139159[[#This Row],[OPERATOR HOURS (PER UNIT)]]</f>
        <v>0</v>
      </c>
      <c r="O35" s="36">
        <f>'TABLE OF CONTENTS'!$K$34</f>
        <v>37.5</v>
      </c>
      <c r="P35" s="36">
        <f>Table139159[[#This Row],[TOTAL OPERATOR HOURS]]*Table139159[[#This Row],[OPERATOR RATE]]</f>
        <v>0</v>
      </c>
      <c r="Q35" s="15">
        <v>0</v>
      </c>
      <c r="R35" s="13">
        <v>0</v>
      </c>
      <c r="S35" s="13">
        <v>0</v>
      </c>
      <c r="T35" s="28"/>
      <c r="U35" s="37">
        <f>SUM(Table139159[[#This Row],[OPERATOR COST]:[UTILITIES]])*Table139159[[#This Row],[FREQUENCY   (TIMES PER YEAR)]]</f>
        <v>0</v>
      </c>
      <c r="V35" s="11"/>
    </row>
    <row r="36" spans="1:22" s="9" customFormat="1" x14ac:dyDescent="0.25">
      <c r="A36" s="98" t="str">
        <f>IF(Table139159[[#This Row],[QUANTITY]]&gt;0, "YES", "NO")</f>
        <v>NO</v>
      </c>
      <c r="B36" s="34" t="s">
        <v>807</v>
      </c>
      <c r="C36" s="35" t="s">
        <v>36</v>
      </c>
      <c r="D36" s="35" t="s">
        <v>40</v>
      </c>
      <c r="E36" s="35" t="s">
        <v>1</v>
      </c>
      <c r="F36" s="35" t="s">
        <v>214</v>
      </c>
      <c r="G36" s="102" t="s">
        <v>204</v>
      </c>
      <c r="H36" s="102" t="s">
        <v>11</v>
      </c>
      <c r="I36" s="102">
        <v>4</v>
      </c>
      <c r="J36" s="102">
        <f>IFERROR(VLOOKUP(Table139159[[#This Row],[WORK ORDER]], '1. BUILDING ASSET INVENTORY'!A:K, 10, FALSE),0)</f>
        <v>0</v>
      </c>
      <c r="K36" s="102" t="str">
        <f>IFERROR(VLOOKUP(Table139159[[#This Row],[WORK ORDER]], '1. BUILDING ASSET INVENTORY'!A:L, 11, FALSE),"")</f>
        <v>Each</v>
      </c>
      <c r="L36" s="108">
        <v>1</v>
      </c>
      <c r="M36" s="196">
        <v>4</v>
      </c>
      <c r="N36" s="108">
        <f>Table139159[[#This Row],[OPERATOR HOURS (BASE)]]+Table139159[[#This Row],[QUANTITY]]*Table139159[[#This Row],[OPERATOR HOURS (PER UNIT)]]</f>
        <v>1</v>
      </c>
      <c r="O36" s="36">
        <f>'TABLE OF CONTENTS'!$K$34</f>
        <v>37.5</v>
      </c>
      <c r="P36" s="36">
        <f>Table139159[[#This Row],[TOTAL OPERATOR HOURS]]*Table139159[[#This Row],[OPERATOR RATE]]</f>
        <v>37.5</v>
      </c>
      <c r="Q36" s="14">
        <v>0</v>
      </c>
      <c r="R36" s="36">
        <v>0</v>
      </c>
      <c r="S36" s="36">
        <v>0</v>
      </c>
      <c r="T36" s="37"/>
      <c r="U36" s="37">
        <f>SUM(Table139159[[#This Row],[OPERATOR COST]:[UTILITIES]])*Table139159[[#This Row],[FREQUENCY   (TIMES PER YEAR)]]</f>
        <v>150</v>
      </c>
      <c r="V36" s="11"/>
    </row>
    <row r="37" spans="1:22" s="9" customFormat="1" x14ac:dyDescent="0.25">
      <c r="A37" s="98" t="str">
        <f>IF(Table139159[[#This Row],[QUANTITY]]&gt;0, "YES", "NO")</f>
        <v>NO</v>
      </c>
      <c r="B37" s="34" t="s">
        <v>808</v>
      </c>
      <c r="C37" s="35" t="s">
        <v>36</v>
      </c>
      <c r="D37" s="35" t="s">
        <v>40</v>
      </c>
      <c r="E37" s="35" t="s">
        <v>1</v>
      </c>
      <c r="F37" s="35" t="s">
        <v>375</v>
      </c>
      <c r="G37" s="102" t="s">
        <v>204</v>
      </c>
      <c r="H37" s="102" t="s">
        <v>12</v>
      </c>
      <c r="I37" s="102">
        <v>2</v>
      </c>
      <c r="J37" s="102">
        <f>IFERROR(VLOOKUP(Table139159[[#This Row],[WORK ORDER]], '1. BUILDING ASSET INVENTORY'!A:K, 10, FALSE),0)</f>
        <v>0</v>
      </c>
      <c r="K37" s="102" t="str">
        <f>IFERROR(VLOOKUP(Table139159[[#This Row],[WORK ORDER]], '1. BUILDING ASSET INVENTORY'!A:L, 11, FALSE),"")</f>
        <v>Each</v>
      </c>
      <c r="L37" s="108">
        <v>1</v>
      </c>
      <c r="M37" s="196">
        <v>4</v>
      </c>
      <c r="N37" s="108">
        <f>Table139159[[#This Row],[OPERATOR HOURS (BASE)]]+Table139159[[#This Row],[QUANTITY]]*Table139159[[#This Row],[OPERATOR HOURS (PER UNIT)]]</f>
        <v>1</v>
      </c>
      <c r="O37" s="36">
        <f>'TABLE OF CONTENTS'!$K$34</f>
        <v>37.5</v>
      </c>
      <c r="P37" s="36">
        <f>Table139159[[#This Row],[TOTAL OPERATOR HOURS]]*Table139159[[#This Row],[OPERATOR RATE]]</f>
        <v>37.5</v>
      </c>
      <c r="Q37" s="14">
        <v>0</v>
      </c>
      <c r="R37" s="36">
        <v>0</v>
      </c>
      <c r="S37" s="36">
        <v>0</v>
      </c>
      <c r="T37" s="37"/>
      <c r="U37" s="37">
        <f>SUM(Table139159[[#This Row],[OPERATOR COST]:[UTILITIES]])*Table139159[[#This Row],[FREQUENCY   (TIMES PER YEAR)]]</f>
        <v>75</v>
      </c>
      <c r="V37" s="11"/>
    </row>
    <row r="38" spans="1:22" s="9" customFormat="1" x14ac:dyDescent="0.25">
      <c r="A38" s="98" t="str">
        <f>IF(Table139159[[#This Row],[QUANTITY]]&gt;0, "YES", "NO")</f>
        <v>NO</v>
      </c>
      <c r="B38" s="34" t="s">
        <v>809</v>
      </c>
      <c r="C38" s="35" t="s">
        <v>36</v>
      </c>
      <c r="D38" s="35" t="s">
        <v>40</v>
      </c>
      <c r="E38" s="35" t="s">
        <v>50</v>
      </c>
      <c r="F38" s="35" t="s">
        <v>215</v>
      </c>
      <c r="G38" s="102" t="s">
        <v>204</v>
      </c>
      <c r="H38" s="102" t="s">
        <v>8</v>
      </c>
      <c r="I38" s="102">
        <v>1</v>
      </c>
      <c r="J38" s="102">
        <f>IFERROR(VLOOKUP(Table139159[[#This Row],[WORK ORDER]], '1. BUILDING ASSET INVENTORY'!A:K, 10, FALSE),0)</f>
        <v>0</v>
      </c>
      <c r="K38" s="102" t="str">
        <f>IFERROR(VLOOKUP(Table139159[[#This Row],[WORK ORDER]], '1. BUILDING ASSET INVENTORY'!A:L, 11, FALSE),"")</f>
        <v xml:space="preserve">m² </v>
      </c>
      <c r="L38" s="108">
        <v>1</v>
      </c>
      <c r="M38" s="196">
        <v>6.4000000000000003E-3</v>
      </c>
      <c r="N38" s="108">
        <f>Table139159[[#This Row],[OPERATOR HOURS (BASE)]]+Table139159[[#This Row],[QUANTITY]]*Table139159[[#This Row],[OPERATOR HOURS (PER UNIT)]]</f>
        <v>1</v>
      </c>
      <c r="O38" s="36">
        <f>'TABLE OF CONTENTS'!$K$34</f>
        <v>37.5</v>
      </c>
      <c r="P38" s="36">
        <f>Table139159[[#This Row],[TOTAL OPERATOR HOURS]]*Table139159[[#This Row],[OPERATOR RATE]]</f>
        <v>37.5</v>
      </c>
      <c r="Q38" s="14">
        <v>0</v>
      </c>
      <c r="R38" s="36">
        <v>0</v>
      </c>
      <c r="S38" s="36">
        <v>2000</v>
      </c>
      <c r="T38" s="37"/>
      <c r="U38" s="37">
        <f>SUM(Table139159[[#This Row],[OPERATOR COST]:[UTILITIES]])*Table139159[[#This Row],[FREQUENCY   (TIMES PER YEAR)]]</f>
        <v>2037.5</v>
      </c>
      <c r="V38" s="11"/>
    </row>
    <row r="39" spans="1:22" s="9" customFormat="1" x14ac:dyDescent="0.25">
      <c r="A39" s="98" t="str">
        <f>IF(Table139159[[#This Row],[QUANTITY]]&gt;0, "YES", "NO")</f>
        <v>NO</v>
      </c>
      <c r="B39" s="34" t="s">
        <v>810</v>
      </c>
      <c r="C39" s="35" t="s">
        <v>36</v>
      </c>
      <c r="D39" s="35" t="s">
        <v>40</v>
      </c>
      <c r="E39" s="35" t="s">
        <v>50</v>
      </c>
      <c r="F39" s="35" t="s">
        <v>216</v>
      </c>
      <c r="G39" s="102" t="s">
        <v>204</v>
      </c>
      <c r="H39" s="102" t="s">
        <v>8</v>
      </c>
      <c r="I39" s="102">
        <v>1</v>
      </c>
      <c r="J39" s="102">
        <f>IFERROR(VLOOKUP(Table139159[[#This Row],[WORK ORDER]], '1. BUILDING ASSET INVENTORY'!A:K, 10, FALSE),0)</f>
        <v>0</v>
      </c>
      <c r="K39" s="102" t="str">
        <f>IFERROR(VLOOKUP(Table139159[[#This Row],[WORK ORDER]], '1. BUILDING ASSET INVENTORY'!A:L, 11, FALSE),"")</f>
        <v xml:space="preserve">m² </v>
      </c>
      <c r="L39" s="108">
        <v>1</v>
      </c>
      <c r="M39" s="196">
        <v>3.2000000000000002E-3</v>
      </c>
      <c r="N39" s="108">
        <f>Table139159[[#This Row],[OPERATOR HOURS (BASE)]]+Table139159[[#This Row],[QUANTITY]]*Table139159[[#This Row],[OPERATOR HOURS (PER UNIT)]]</f>
        <v>1</v>
      </c>
      <c r="O39" s="36">
        <f>'TABLE OF CONTENTS'!$K$34</f>
        <v>37.5</v>
      </c>
      <c r="P39" s="36">
        <f>Table139159[[#This Row],[TOTAL OPERATOR HOURS]]*Table139159[[#This Row],[OPERATOR RATE]]</f>
        <v>37.5</v>
      </c>
      <c r="Q39" s="14">
        <v>0</v>
      </c>
      <c r="R39" s="36">
        <v>0</v>
      </c>
      <c r="S39" s="36">
        <v>0</v>
      </c>
      <c r="T39" s="37"/>
      <c r="U39" s="37">
        <f>SUM(Table139159[[#This Row],[OPERATOR COST]:[UTILITIES]])*Table139159[[#This Row],[FREQUENCY   (TIMES PER YEAR)]]</f>
        <v>37.5</v>
      </c>
      <c r="V39" s="11"/>
    </row>
    <row r="40" spans="1:22" s="9" customFormat="1" hidden="1" x14ac:dyDescent="0.25">
      <c r="A40" s="98" t="str">
        <f>IF(Table139159[[#This Row],[QUANTITY]]&gt;0, "YES", "NO")</f>
        <v>NO</v>
      </c>
      <c r="B40" s="34" t="s">
        <v>887</v>
      </c>
      <c r="C40" s="12" t="s">
        <v>36</v>
      </c>
      <c r="D40" s="35" t="s">
        <v>40</v>
      </c>
      <c r="E40" s="12" t="s">
        <v>53</v>
      </c>
      <c r="F40" s="12" t="s">
        <v>53</v>
      </c>
      <c r="G40" s="103" t="s">
        <v>15</v>
      </c>
      <c r="H40" s="103" t="s">
        <v>12</v>
      </c>
      <c r="I40" s="103">
        <v>0</v>
      </c>
      <c r="J40" s="103">
        <f>IFERROR(VLOOKUP(Table139159[[#This Row],[WORK ORDER]], '1. BUILDING ASSET INVENTORY'!A:K, 10, FALSE),0)</f>
        <v>0</v>
      </c>
      <c r="K40" s="102" t="str">
        <f>IFERROR(VLOOKUP(Table139159[[#This Row],[WORK ORDER]], '1. BUILDING ASSET INVENTORY'!A:L, 11, FALSE),"")</f>
        <v/>
      </c>
      <c r="L40" s="109"/>
      <c r="M40" s="197"/>
      <c r="N40" s="109">
        <f>Table139159[[#This Row],[OPERATOR HOURS (BASE)]]+Table139159[[#This Row],[QUANTITY]]*Table139159[[#This Row],[OPERATOR HOURS (PER UNIT)]]</f>
        <v>0</v>
      </c>
      <c r="O40" s="36">
        <f>'TABLE OF CONTENTS'!$K$34</f>
        <v>37.5</v>
      </c>
      <c r="P40" s="36">
        <f>Table139159[[#This Row],[TOTAL OPERATOR HOURS]]*Table139159[[#This Row],[OPERATOR RATE]]</f>
        <v>0</v>
      </c>
      <c r="Q40" s="15">
        <v>0</v>
      </c>
      <c r="R40" s="13">
        <v>0</v>
      </c>
      <c r="S40" s="13">
        <v>0</v>
      </c>
      <c r="T40" s="28"/>
      <c r="U40" s="37">
        <f>SUM(Table139159[[#This Row],[OPERATOR COST]:[UTILITIES]])*Table139159[[#This Row],[FREQUENCY   (TIMES PER YEAR)]]</f>
        <v>0</v>
      </c>
      <c r="V40" s="11"/>
    </row>
    <row r="41" spans="1:22" s="9" customFormat="1" hidden="1" x14ac:dyDescent="0.25">
      <c r="A41" s="98" t="str">
        <f>IF(Table139159[[#This Row],[QUANTITY]]&gt;0, "YES", "NO")</f>
        <v>NO</v>
      </c>
      <c r="B41" s="34" t="s">
        <v>888</v>
      </c>
      <c r="C41" s="12" t="s">
        <v>36</v>
      </c>
      <c r="D41" s="35" t="s">
        <v>40</v>
      </c>
      <c r="E41" s="12" t="s">
        <v>53</v>
      </c>
      <c r="F41" s="12" t="s">
        <v>53</v>
      </c>
      <c r="G41" s="103" t="s">
        <v>15</v>
      </c>
      <c r="H41" s="103" t="s">
        <v>12</v>
      </c>
      <c r="I41" s="103">
        <v>0</v>
      </c>
      <c r="J41" s="103">
        <f>IFERROR(VLOOKUP(Table139159[[#This Row],[WORK ORDER]], '1. BUILDING ASSET INVENTORY'!A:K, 10, FALSE),0)</f>
        <v>0</v>
      </c>
      <c r="K41" s="102" t="str">
        <f>IFERROR(VLOOKUP(Table139159[[#This Row],[WORK ORDER]], '1. BUILDING ASSET INVENTORY'!A:L, 11, FALSE),"")</f>
        <v/>
      </c>
      <c r="L41" s="109"/>
      <c r="M41" s="197"/>
      <c r="N41" s="109">
        <f>Table139159[[#This Row],[OPERATOR HOURS (BASE)]]+Table139159[[#This Row],[QUANTITY]]*Table139159[[#This Row],[OPERATOR HOURS (PER UNIT)]]</f>
        <v>0</v>
      </c>
      <c r="O41" s="36">
        <f>'TABLE OF CONTENTS'!$K$34</f>
        <v>37.5</v>
      </c>
      <c r="P41" s="36">
        <f>Table139159[[#This Row],[TOTAL OPERATOR HOURS]]*Table139159[[#This Row],[OPERATOR RATE]]</f>
        <v>0</v>
      </c>
      <c r="Q41" s="15">
        <v>0</v>
      </c>
      <c r="R41" s="13">
        <v>0</v>
      </c>
      <c r="S41" s="13">
        <v>0</v>
      </c>
      <c r="T41" s="28"/>
      <c r="U41" s="37">
        <f>SUM(Table139159[[#This Row],[OPERATOR COST]:[UTILITIES]])*Table139159[[#This Row],[FREQUENCY   (TIMES PER YEAR)]]</f>
        <v>0</v>
      </c>
      <c r="V41" s="11"/>
    </row>
    <row r="42" spans="1:22" s="9" customFormat="1" ht="30" x14ac:dyDescent="0.25">
      <c r="A42" s="98" t="str">
        <f>IF(Table139159[[#This Row],[QUANTITY]]&gt;0, "YES", "NO")</f>
        <v>NO</v>
      </c>
      <c r="B42" s="29" t="s">
        <v>811</v>
      </c>
      <c r="C42" s="12" t="s">
        <v>36</v>
      </c>
      <c r="D42" s="12" t="s">
        <v>41</v>
      </c>
      <c r="E42" s="12" t="s">
        <v>51</v>
      </c>
      <c r="F42" s="12" t="s">
        <v>376</v>
      </c>
      <c r="G42" s="103" t="s">
        <v>204</v>
      </c>
      <c r="H42" s="103" t="s">
        <v>8</v>
      </c>
      <c r="I42" s="103">
        <v>0</v>
      </c>
      <c r="J42" s="103">
        <f>IFERROR(VLOOKUP(Table139159[[#This Row],[WORK ORDER]], '1. BUILDING ASSET INVENTORY'!A:K, 10, FALSE),0)</f>
        <v>0</v>
      </c>
      <c r="K42" s="102" t="str">
        <f>IFERROR(VLOOKUP(Table139159[[#This Row],[WORK ORDER]], '1. BUILDING ASSET INVENTORY'!A:L, 11, FALSE),"")</f>
        <v>m</v>
      </c>
      <c r="L42" s="109">
        <v>1</v>
      </c>
      <c r="M42" s="197">
        <v>0.08</v>
      </c>
      <c r="N42" s="109">
        <f>Table139159[[#This Row],[OPERATOR HOURS (BASE)]]+Table139159[[#This Row],[QUANTITY]]*Table139159[[#This Row],[OPERATOR HOURS (PER UNIT)]]</f>
        <v>1</v>
      </c>
      <c r="O42" s="36">
        <f>'TABLE OF CONTENTS'!$K$34</f>
        <v>37.5</v>
      </c>
      <c r="P42" s="36">
        <f>Table139159[[#This Row],[TOTAL OPERATOR HOURS]]*Table139159[[#This Row],[OPERATOR RATE]]</f>
        <v>37.5</v>
      </c>
      <c r="Q42" s="15">
        <v>0</v>
      </c>
      <c r="R42" s="13">
        <v>50</v>
      </c>
      <c r="S42" s="13">
        <v>15</v>
      </c>
      <c r="T42" s="28"/>
      <c r="U42" s="37">
        <f>SUM(Table139159[[#This Row],[OPERATOR COST]:[UTILITIES]])*Table139159[[#This Row],[FREQUENCY   (TIMES PER YEAR)]]</f>
        <v>0</v>
      </c>
      <c r="V42" s="11"/>
    </row>
    <row r="43" spans="1:22" s="9" customFormat="1" ht="30" x14ac:dyDescent="0.25">
      <c r="A43" s="98" t="str">
        <f>IF(Table139159[[#This Row],[QUANTITY]]&gt;0, "YES", "NO")</f>
        <v>NO</v>
      </c>
      <c r="B43" s="29" t="s">
        <v>812</v>
      </c>
      <c r="C43" s="12" t="s">
        <v>36</v>
      </c>
      <c r="D43" s="12" t="s">
        <v>41</v>
      </c>
      <c r="E43" s="12" t="s">
        <v>51</v>
      </c>
      <c r="F43" s="12" t="s">
        <v>378</v>
      </c>
      <c r="G43" s="103" t="s">
        <v>204</v>
      </c>
      <c r="H43" s="103" t="s">
        <v>8</v>
      </c>
      <c r="I43" s="103">
        <v>0</v>
      </c>
      <c r="J43" s="103">
        <f>IFERROR(VLOOKUP(Table139159[[#This Row],[WORK ORDER]], '1. BUILDING ASSET INVENTORY'!A:K, 10, FALSE),0)</f>
        <v>0</v>
      </c>
      <c r="K43" s="102" t="str">
        <f>IFERROR(VLOOKUP(Table139159[[#This Row],[WORK ORDER]], '1. BUILDING ASSET INVENTORY'!A:L, 11, FALSE),"")</f>
        <v>m</v>
      </c>
      <c r="L43" s="109">
        <v>1</v>
      </c>
      <c r="M43" s="197">
        <v>0.02</v>
      </c>
      <c r="N43" s="109">
        <f>Table139159[[#This Row],[OPERATOR HOURS (BASE)]]+Table139159[[#This Row],[QUANTITY]]*Table139159[[#This Row],[OPERATOR HOURS (PER UNIT)]]</f>
        <v>1</v>
      </c>
      <c r="O43" s="36">
        <f>'TABLE OF CONTENTS'!$K$34</f>
        <v>37.5</v>
      </c>
      <c r="P43" s="36">
        <f>Table139159[[#This Row],[TOTAL OPERATOR HOURS]]*Table139159[[#This Row],[OPERATOR RATE]]</f>
        <v>37.5</v>
      </c>
      <c r="Q43" s="13">
        <v>0</v>
      </c>
      <c r="R43" s="13">
        <v>0</v>
      </c>
      <c r="S43" s="13">
        <v>0</v>
      </c>
      <c r="T43" s="28"/>
      <c r="U43" s="37">
        <f>SUM(Table139159[[#This Row],[OPERATOR COST]:[UTILITIES]])*Table139159[[#This Row],[FREQUENCY   (TIMES PER YEAR)]]</f>
        <v>0</v>
      </c>
      <c r="V43" s="11"/>
    </row>
    <row r="44" spans="1:22" s="9" customFormat="1" hidden="1" x14ac:dyDescent="0.25">
      <c r="A44" s="98" t="str">
        <f>IF(Table139159[[#This Row],[QUANTITY]]&gt;0, "YES", "NO")</f>
        <v>NO</v>
      </c>
      <c r="B44" s="29" t="s">
        <v>813</v>
      </c>
      <c r="C44" s="12" t="s">
        <v>36</v>
      </c>
      <c r="D44" s="12" t="s">
        <v>41</v>
      </c>
      <c r="E44" s="12" t="s">
        <v>52</v>
      </c>
      <c r="F44" s="12" t="s">
        <v>218</v>
      </c>
      <c r="G44" s="103" t="s">
        <v>217</v>
      </c>
      <c r="H44" s="103" t="s">
        <v>12</v>
      </c>
      <c r="I44" s="103">
        <v>0</v>
      </c>
      <c r="J44" s="103">
        <f>IFERROR(VLOOKUP(Table139159[[#This Row],[WORK ORDER]], '1. BUILDING ASSET INVENTORY'!A:K, 10, FALSE),0)</f>
        <v>0</v>
      </c>
      <c r="K44" s="102" t="str">
        <f>IFERROR(VLOOKUP(Table139159[[#This Row],[WORK ORDER]], '1. BUILDING ASSET INVENTORY'!A:L, 11, FALSE),"")</f>
        <v>Each</v>
      </c>
      <c r="L44" s="109">
        <v>1</v>
      </c>
      <c r="M44" s="197">
        <v>0.48</v>
      </c>
      <c r="N44" s="109">
        <f>Table139159[[#This Row],[OPERATOR HOURS (BASE)]]+Table139159[[#This Row],[QUANTITY]]*Table139159[[#This Row],[OPERATOR HOURS (PER UNIT)]]</f>
        <v>1</v>
      </c>
      <c r="O44" s="36">
        <f>'TABLE OF CONTENTS'!$K$34</f>
        <v>37.5</v>
      </c>
      <c r="P44" s="36">
        <f>Table139159[[#This Row],[TOTAL OPERATOR HOURS]]*Table139159[[#This Row],[OPERATOR RATE]]</f>
        <v>37.5</v>
      </c>
      <c r="Q44" s="15">
        <v>0</v>
      </c>
      <c r="R44" s="13">
        <v>50</v>
      </c>
      <c r="S44" s="13">
        <v>1000</v>
      </c>
      <c r="T44" s="28"/>
      <c r="U44" s="37">
        <f>SUM(Table139159[[#This Row],[OPERATOR COST]:[UTILITIES]])*Table139159[[#This Row],[FREQUENCY   (TIMES PER YEAR)]]</f>
        <v>0</v>
      </c>
      <c r="V44" s="11"/>
    </row>
    <row r="45" spans="1:22" s="9" customFormat="1" hidden="1" x14ac:dyDescent="0.25">
      <c r="A45" s="98" t="str">
        <f>IF(Table139159[[#This Row],[QUANTITY]]&gt;0, "YES", "NO")</f>
        <v>NO</v>
      </c>
      <c r="B45" s="29" t="s">
        <v>889</v>
      </c>
      <c r="C45" s="12" t="s">
        <v>36</v>
      </c>
      <c r="D45" s="12" t="s">
        <v>41</v>
      </c>
      <c r="E45" s="12" t="s">
        <v>53</v>
      </c>
      <c r="F45" s="12" t="s">
        <v>53</v>
      </c>
      <c r="G45" s="103" t="s">
        <v>15</v>
      </c>
      <c r="H45" s="103" t="s">
        <v>12</v>
      </c>
      <c r="I45" s="103">
        <v>0</v>
      </c>
      <c r="J45" s="103">
        <f>IFERROR(VLOOKUP(Table139159[[#This Row],[WORK ORDER]], '1. BUILDING ASSET INVENTORY'!A:K, 10, FALSE),0)</f>
        <v>0</v>
      </c>
      <c r="K45" s="102" t="str">
        <f>IFERROR(VLOOKUP(Table139159[[#This Row],[WORK ORDER]], '1. BUILDING ASSET INVENTORY'!A:L, 11, FALSE),"")</f>
        <v/>
      </c>
      <c r="L45" s="109"/>
      <c r="M45" s="197"/>
      <c r="N45" s="109">
        <f>Table139159[[#This Row],[OPERATOR HOURS (BASE)]]+Table139159[[#This Row],[QUANTITY]]*Table139159[[#This Row],[OPERATOR HOURS (PER UNIT)]]</f>
        <v>0</v>
      </c>
      <c r="O45" s="36">
        <f>'TABLE OF CONTENTS'!$K$34</f>
        <v>37.5</v>
      </c>
      <c r="P45" s="36">
        <f>Table139159[[#This Row],[TOTAL OPERATOR HOURS]]*Table139159[[#This Row],[OPERATOR RATE]]</f>
        <v>0</v>
      </c>
      <c r="Q45" s="15">
        <v>0</v>
      </c>
      <c r="R45" s="13">
        <v>0</v>
      </c>
      <c r="S45" s="13">
        <v>0</v>
      </c>
      <c r="T45" s="28"/>
      <c r="U45" s="37">
        <f>SUM(Table139159[[#This Row],[OPERATOR COST]:[UTILITIES]])*Table139159[[#This Row],[FREQUENCY   (TIMES PER YEAR)]]</f>
        <v>0</v>
      </c>
      <c r="V45" s="11"/>
    </row>
    <row r="46" spans="1:22" s="9" customFormat="1" hidden="1" x14ac:dyDescent="0.25">
      <c r="A46" s="98" t="str">
        <f>IF(Table139159[[#This Row],[QUANTITY]]&gt;0, "YES", "NO")</f>
        <v>NO</v>
      </c>
      <c r="B46" s="29" t="s">
        <v>890</v>
      </c>
      <c r="C46" s="12" t="s">
        <v>36</v>
      </c>
      <c r="D46" s="12" t="s">
        <v>41</v>
      </c>
      <c r="E46" s="12" t="s">
        <v>53</v>
      </c>
      <c r="F46" s="12" t="s">
        <v>53</v>
      </c>
      <c r="G46" s="103" t="s">
        <v>15</v>
      </c>
      <c r="H46" s="103" t="s">
        <v>12</v>
      </c>
      <c r="I46" s="103">
        <v>0</v>
      </c>
      <c r="J46" s="103">
        <f>IFERROR(VLOOKUP(Table139159[[#This Row],[WORK ORDER]], '1. BUILDING ASSET INVENTORY'!A:K, 10, FALSE),0)</f>
        <v>0</v>
      </c>
      <c r="K46" s="102" t="str">
        <f>IFERROR(VLOOKUP(Table139159[[#This Row],[WORK ORDER]], '1. BUILDING ASSET INVENTORY'!A:L, 11, FALSE),"")</f>
        <v/>
      </c>
      <c r="L46" s="109"/>
      <c r="M46" s="197"/>
      <c r="N46" s="109">
        <f>Table139159[[#This Row],[OPERATOR HOURS (BASE)]]+Table139159[[#This Row],[QUANTITY]]*Table139159[[#This Row],[OPERATOR HOURS (PER UNIT)]]</f>
        <v>0</v>
      </c>
      <c r="O46" s="36">
        <f>'TABLE OF CONTENTS'!$K$34</f>
        <v>37.5</v>
      </c>
      <c r="P46" s="36">
        <f>Table139159[[#This Row],[TOTAL OPERATOR HOURS]]*Table139159[[#This Row],[OPERATOR RATE]]</f>
        <v>0</v>
      </c>
      <c r="Q46" s="15">
        <v>0</v>
      </c>
      <c r="R46" s="13">
        <v>0</v>
      </c>
      <c r="S46" s="13">
        <v>0</v>
      </c>
      <c r="T46" s="28"/>
      <c r="U46" s="37">
        <f>SUM(Table139159[[#This Row],[OPERATOR COST]:[UTILITIES]])*Table139159[[#This Row],[FREQUENCY   (TIMES PER YEAR)]]</f>
        <v>0</v>
      </c>
      <c r="V46" s="11"/>
    </row>
    <row r="47" spans="1:22" s="9" customFormat="1" hidden="1" x14ac:dyDescent="0.25">
      <c r="A47" s="98" t="str">
        <f>IF(Table139159[[#This Row],[QUANTITY]]&gt;0, "YES", "NO")</f>
        <v>NO</v>
      </c>
      <c r="B47" s="29" t="s">
        <v>891</v>
      </c>
      <c r="C47" s="12" t="s">
        <v>36</v>
      </c>
      <c r="D47" s="12" t="s">
        <v>41</v>
      </c>
      <c r="E47" s="12" t="s">
        <v>53</v>
      </c>
      <c r="F47" s="12" t="s">
        <v>53</v>
      </c>
      <c r="G47" s="103" t="s">
        <v>15</v>
      </c>
      <c r="H47" s="103" t="s">
        <v>12</v>
      </c>
      <c r="I47" s="103">
        <v>0</v>
      </c>
      <c r="J47" s="103">
        <f>IFERROR(VLOOKUP(Table139159[[#This Row],[WORK ORDER]], '1. BUILDING ASSET INVENTORY'!A:K, 10, FALSE),0)</f>
        <v>0</v>
      </c>
      <c r="K47" s="102" t="str">
        <f>IFERROR(VLOOKUP(Table139159[[#This Row],[WORK ORDER]], '1. BUILDING ASSET INVENTORY'!A:L, 11, FALSE),"")</f>
        <v/>
      </c>
      <c r="L47" s="109"/>
      <c r="M47" s="197"/>
      <c r="N47" s="109">
        <f>Table139159[[#This Row],[OPERATOR HOURS (BASE)]]+Table139159[[#This Row],[QUANTITY]]*Table139159[[#This Row],[OPERATOR HOURS (PER UNIT)]]</f>
        <v>0</v>
      </c>
      <c r="O47" s="36">
        <f>'TABLE OF CONTENTS'!$K$34</f>
        <v>37.5</v>
      </c>
      <c r="P47" s="36">
        <f>Table139159[[#This Row],[TOTAL OPERATOR HOURS]]*Table139159[[#This Row],[OPERATOR RATE]]</f>
        <v>0</v>
      </c>
      <c r="Q47" s="15">
        <v>0</v>
      </c>
      <c r="R47" s="13">
        <v>0</v>
      </c>
      <c r="S47" s="13">
        <v>0</v>
      </c>
      <c r="T47" s="28"/>
      <c r="U47" s="37">
        <f>SUM(Table139159[[#This Row],[OPERATOR COST]:[UTILITIES]])*Table139159[[#This Row],[FREQUENCY   (TIMES PER YEAR)]]</f>
        <v>0</v>
      </c>
      <c r="V47" s="11"/>
    </row>
    <row r="48" spans="1:22" s="9" customFormat="1" x14ac:dyDescent="0.25">
      <c r="A48" s="98" t="str">
        <f>IF(Table139159[[#This Row],[QUANTITY]]&gt;0, "YES", "NO")</f>
        <v>NO</v>
      </c>
      <c r="B48" s="27" t="s">
        <v>814</v>
      </c>
      <c r="C48" s="12" t="s">
        <v>36</v>
      </c>
      <c r="D48" s="12" t="s">
        <v>42</v>
      </c>
      <c r="E48" s="12" t="s">
        <v>54</v>
      </c>
      <c r="F48" s="12" t="s">
        <v>376</v>
      </c>
      <c r="G48" s="103" t="s">
        <v>204</v>
      </c>
      <c r="H48" s="103" t="s">
        <v>13</v>
      </c>
      <c r="I48" s="103">
        <v>2</v>
      </c>
      <c r="J48" s="103">
        <f>IFERROR(VLOOKUP(Table139159[[#This Row],[WORK ORDER]], '1. BUILDING ASSET INVENTORY'!A:K, 10, FALSE),0)</f>
        <v>0</v>
      </c>
      <c r="K48" s="102" t="str">
        <f>IFERROR(VLOOKUP(Table139159[[#This Row],[WORK ORDER]], '1. BUILDING ASSET INVENTORY'!A:L, 11, FALSE),"")</f>
        <v xml:space="preserve">m² </v>
      </c>
      <c r="L48" s="109">
        <v>1</v>
      </c>
      <c r="M48" s="197">
        <v>0.08</v>
      </c>
      <c r="N48" s="109">
        <f>Table139159[[#This Row],[OPERATOR HOURS (BASE)]]+Table139159[[#This Row],[QUANTITY]]*Table139159[[#This Row],[OPERATOR HOURS (PER UNIT)]]</f>
        <v>1</v>
      </c>
      <c r="O48" s="36">
        <f>'TABLE OF CONTENTS'!$K$34</f>
        <v>37.5</v>
      </c>
      <c r="P48" s="36">
        <f>Table139159[[#This Row],[TOTAL OPERATOR HOURS]]*Table139159[[#This Row],[OPERATOR RATE]]</f>
        <v>37.5</v>
      </c>
      <c r="Q48" s="14">
        <v>0</v>
      </c>
      <c r="R48" s="36">
        <v>15</v>
      </c>
      <c r="S48" s="36">
        <v>15</v>
      </c>
      <c r="T48" s="37"/>
      <c r="U48" s="37">
        <f>SUM(Table139159[[#This Row],[OPERATOR COST]:[UTILITIES]])*Table139159[[#This Row],[FREQUENCY   (TIMES PER YEAR)]]</f>
        <v>135</v>
      </c>
      <c r="V48" s="11"/>
    </row>
    <row r="49" spans="1:22" s="9" customFormat="1" x14ac:dyDescent="0.25">
      <c r="A49" s="98" t="str">
        <f>IF(Table139159[[#This Row],[QUANTITY]]&gt;0, "YES", "NO")</f>
        <v>NO</v>
      </c>
      <c r="B49" s="27" t="s">
        <v>815</v>
      </c>
      <c r="C49" s="12" t="s">
        <v>36</v>
      </c>
      <c r="D49" s="12" t="s">
        <v>42</v>
      </c>
      <c r="E49" s="12" t="s">
        <v>54</v>
      </c>
      <c r="F49" s="12" t="s">
        <v>219</v>
      </c>
      <c r="G49" s="103" t="s">
        <v>204</v>
      </c>
      <c r="H49" s="103" t="s">
        <v>11</v>
      </c>
      <c r="I49" s="103">
        <v>4</v>
      </c>
      <c r="J49" s="103">
        <f>IFERROR(VLOOKUP(Table139159[[#This Row],[WORK ORDER]], '1. BUILDING ASSET INVENTORY'!A:K, 10, FALSE),0)</f>
        <v>0</v>
      </c>
      <c r="K49" s="102" t="str">
        <f>IFERROR(VLOOKUP(Table139159[[#This Row],[WORK ORDER]], '1. BUILDING ASSET INVENTORY'!A:L, 11, FALSE),"")</f>
        <v xml:space="preserve">m² </v>
      </c>
      <c r="L49" s="109">
        <v>1</v>
      </c>
      <c r="M49" s="197">
        <v>0.02</v>
      </c>
      <c r="N49" s="109">
        <f>Table139159[[#This Row],[OPERATOR HOURS (BASE)]]+Table139159[[#This Row],[QUANTITY]]*Table139159[[#This Row],[OPERATOR HOURS (PER UNIT)]]</f>
        <v>1</v>
      </c>
      <c r="O49" s="36">
        <f>'TABLE OF CONTENTS'!$K$34</f>
        <v>37.5</v>
      </c>
      <c r="P49" s="36">
        <f>Table139159[[#This Row],[TOTAL OPERATOR HOURS]]*Table139159[[#This Row],[OPERATOR RATE]]</f>
        <v>37.5</v>
      </c>
      <c r="Q49" s="14">
        <v>0</v>
      </c>
      <c r="R49" s="36">
        <v>0</v>
      </c>
      <c r="S49" s="36">
        <v>0</v>
      </c>
      <c r="T49" s="37"/>
      <c r="U49" s="37">
        <f>SUM(Table139159[[#This Row],[OPERATOR COST]:[UTILITIES]])*Table139159[[#This Row],[FREQUENCY   (TIMES PER YEAR)]]</f>
        <v>150</v>
      </c>
      <c r="V49" s="11"/>
    </row>
    <row r="50" spans="1:22" s="9" customFormat="1" x14ac:dyDescent="0.25">
      <c r="A50" s="98" t="str">
        <f>IF(Table139159[[#This Row],[QUANTITY]]&gt;0, "YES", "NO")</f>
        <v>NO</v>
      </c>
      <c r="B50" s="27" t="s">
        <v>816</v>
      </c>
      <c r="C50" s="12" t="s">
        <v>36</v>
      </c>
      <c r="D50" s="12" t="s">
        <v>42</v>
      </c>
      <c r="E50" s="12" t="s">
        <v>55</v>
      </c>
      <c r="F50" s="12" t="s">
        <v>220</v>
      </c>
      <c r="G50" s="103" t="s">
        <v>204</v>
      </c>
      <c r="H50" s="103" t="s">
        <v>13</v>
      </c>
      <c r="I50" s="103">
        <v>2</v>
      </c>
      <c r="J50" s="103">
        <f>IFERROR(VLOOKUP(Table139159[[#This Row],[WORK ORDER]], '1. BUILDING ASSET INVENTORY'!A:K, 10, FALSE),0)</f>
        <v>0</v>
      </c>
      <c r="K50" s="102" t="str">
        <f>IFERROR(VLOOKUP(Table139159[[#This Row],[WORK ORDER]], '1. BUILDING ASSET INVENTORY'!A:L, 11, FALSE),"")</f>
        <v xml:space="preserve">m² </v>
      </c>
      <c r="L50" s="109">
        <v>1</v>
      </c>
      <c r="M50" s="197">
        <v>0.04</v>
      </c>
      <c r="N50" s="109">
        <f>Table139159[[#This Row],[OPERATOR HOURS (BASE)]]+Table139159[[#This Row],[QUANTITY]]*Table139159[[#This Row],[OPERATOR HOURS (PER UNIT)]]</f>
        <v>1</v>
      </c>
      <c r="O50" s="36">
        <f>'TABLE OF CONTENTS'!$K$34</f>
        <v>37.5</v>
      </c>
      <c r="P50" s="36">
        <f>Table139159[[#This Row],[TOTAL OPERATOR HOURS]]*Table139159[[#This Row],[OPERATOR RATE]]</f>
        <v>37.5</v>
      </c>
      <c r="Q50" s="14">
        <v>0</v>
      </c>
      <c r="R50" s="13"/>
      <c r="S50" s="13">
        <v>150</v>
      </c>
      <c r="T50" s="28"/>
      <c r="U50" s="37">
        <f>SUM(Table139159[[#This Row],[OPERATOR COST]:[UTILITIES]])*Table139159[[#This Row],[FREQUENCY   (TIMES PER YEAR)]]</f>
        <v>375</v>
      </c>
      <c r="V50" s="11"/>
    </row>
    <row r="51" spans="1:22" s="9" customFormat="1" x14ac:dyDescent="0.25">
      <c r="A51" s="98" t="str">
        <f>IF(Table139159[[#This Row],[QUANTITY]]&gt;0, "YES", "NO")</f>
        <v>NO</v>
      </c>
      <c r="B51" s="27" t="s">
        <v>817</v>
      </c>
      <c r="C51" s="12" t="s">
        <v>36</v>
      </c>
      <c r="D51" s="12" t="s">
        <v>42</v>
      </c>
      <c r="E51" s="12" t="s">
        <v>337</v>
      </c>
      <c r="F51" s="12" t="s">
        <v>340</v>
      </c>
      <c r="G51" s="103" t="s">
        <v>204</v>
      </c>
      <c r="H51" s="103" t="s">
        <v>12</v>
      </c>
      <c r="I51" s="103">
        <v>6</v>
      </c>
      <c r="J51" s="103">
        <f>IFERROR(VLOOKUP(Table139159[[#This Row],[WORK ORDER]], '1. BUILDING ASSET INVENTORY'!A:K, 10, FALSE),0)</f>
        <v>0</v>
      </c>
      <c r="K51" s="102" t="str">
        <f>IFERROR(VLOOKUP(Table139159[[#This Row],[WORK ORDER]], '1. BUILDING ASSET INVENTORY'!A:L, 11, FALSE),"")</f>
        <v xml:space="preserve">m² </v>
      </c>
      <c r="L51" s="108">
        <v>1</v>
      </c>
      <c r="M51" s="196">
        <v>0.03</v>
      </c>
      <c r="N51" s="108">
        <f>Table139159[[#This Row],[OPERATOR HOURS (BASE)]]+Table139159[[#This Row],[QUANTITY]]*Table139159[[#This Row],[OPERATOR HOURS (PER UNIT)]]</f>
        <v>1</v>
      </c>
      <c r="O51" s="36">
        <f>'TABLE OF CONTENTS'!$K$34</f>
        <v>37.5</v>
      </c>
      <c r="P51" s="36">
        <f>Table139159[[#This Row],[TOTAL OPERATOR HOURS]]*Table139159[[#This Row],[OPERATOR RATE]]</f>
        <v>37.5</v>
      </c>
      <c r="Q51" s="13">
        <v>0</v>
      </c>
      <c r="R51" s="13">
        <v>5</v>
      </c>
      <c r="S51" s="13">
        <v>20</v>
      </c>
      <c r="T51" s="28"/>
      <c r="U51" s="37">
        <f>SUM(Table139159[[#This Row],[OPERATOR COST]:[UTILITIES]])*Table139159[[#This Row],[FREQUENCY   (TIMES PER YEAR)]]</f>
        <v>375</v>
      </c>
      <c r="V51" s="11"/>
    </row>
    <row r="52" spans="1:22" s="9" customFormat="1" hidden="1" x14ac:dyDescent="0.25">
      <c r="A52" s="98" t="str">
        <f>IF(Table139159[[#This Row],[QUANTITY]]&gt;0, "YES", "NO")</f>
        <v>NO</v>
      </c>
      <c r="B52" s="27" t="s">
        <v>870</v>
      </c>
      <c r="C52" s="12" t="s">
        <v>36</v>
      </c>
      <c r="D52" s="12" t="s">
        <v>42</v>
      </c>
      <c r="E52" s="12" t="s">
        <v>361</v>
      </c>
      <c r="F52" s="12" t="s">
        <v>362</v>
      </c>
      <c r="G52" s="103" t="s">
        <v>217</v>
      </c>
      <c r="H52" s="103" t="s">
        <v>12</v>
      </c>
      <c r="I52" s="103">
        <v>1</v>
      </c>
      <c r="J52" s="103">
        <f>IFERROR(VLOOKUP(Table139159[[#This Row],[WORK ORDER]], '1. BUILDING ASSET INVENTORY'!A:K, 10, FALSE),0)</f>
        <v>0</v>
      </c>
      <c r="K52" s="102" t="str">
        <f>IFERROR(VLOOKUP(Table139159[[#This Row],[WORK ORDER]], '1. BUILDING ASSET INVENTORY'!A:L, 11, FALSE),"")</f>
        <v>Each</v>
      </c>
      <c r="L52" s="108">
        <v>1</v>
      </c>
      <c r="M52" s="196">
        <v>48</v>
      </c>
      <c r="N52" s="108">
        <f>Table139159[[#This Row],[OPERATOR HOURS (BASE)]]+Table139159[[#This Row],[QUANTITY]]*Table139159[[#This Row],[OPERATOR HOURS (PER UNIT)]]</f>
        <v>1</v>
      </c>
      <c r="O52" s="36">
        <f>'TABLE OF CONTENTS'!$K$34</f>
        <v>37.5</v>
      </c>
      <c r="P52" s="36">
        <f>Table139159[[#This Row],[TOTAL OPERATOR HOURS]]*Table139159[[#This Row],[OPERATOR RATE]]</f>
        <v>37.5</v>
      </c>
      <c r="Q52" s="15">
        <v>0</v>
      </c>
      <c r="R52" s="13">
        <v>0</v>
      </c>
      <c r="S52" s="13">
        <v>15000</v>
      </c>
      <c r="T52" s="28"/>
      <c r="U52" s="37">
        <f>SUM(Table139159[[#This Row],[OPERATOR COST]:[UTILITIES]])*Table139159[[#This Row],[FREQUENCY   (TIMES PER YEAR)]]</f>
        <v>15037.5</v>
      </c>
      <c r="V52" s="11"/>
    </row>
    <row r="53" spans="1:22" s="9" customFormat="1" hidden="1" x14ac:dyDescent="0.25">
      <c r="A53" s="98" t="str">
        <f>IF(Table139159[[#This Row],[QUANTITY]]&gt;0, "YES", "NO")</f>
        <v>NO</v>
      </c>
      <c r="B53" s="27" t="s">
        <v>892</v>
      </c>
      <c r="C53" s="12" t="s">
        <v>36</v>
      </c>
      <c r="D53" s="12" t="s">
        <v>42</v>
      </c>
      <c r="E53" s="12" t="s">
        <v>53</v>
      </c>
      <c r="F53" s="12" t="s">
        <v>53</v>
      </c>
      <c r="G53" s="103" t="s">
        <v>15</v>
      </c>
      <c r="H53" s="103" t="s">
        <v>12</v>
      </c>
      <c r="I53" s="103">
        <v>0</v>
      </c>
      <c r="J53" s="103">
        <f>IFERROR(VLOOKUP(Table139159[[#This Row],[WORK ORDER]], '1. BUILDING ASSET INVENTORY'!A:K, 10, FALSE),0)</f>
        <v>0</v>
      </c>
      <c r="K53" s="102" t="str">
        <f>IFERROR(VLOOKUP(Table139159[[#This Row],[WORK ORDER]], '1. BUILDING ASSET INVENTORY'!A:L, 11, FALSE),"")</f>
        <v/>
      </c>
      <c r="L53" s="108"/>
      <c r="M53" s="196"/>
      <c r="N53" s="108">
        <f>Table139159[[#This Row],[OPERATOR HOURS (BASE)]]+Table139159[[#This Row],[QUANTITY]]*Table139159[[#This Row],[OPERATOR HOURS (PER UNIT)]]</f>
        <v>0</v>
      </c>
      <c r="O53" s="36">
        <f>'TABLE OF CONTENTS'!$K$34</f>
        <v>37.5</v>
      </c>
      <c r="P53" s="36">
        <f>Table139159[[#This Row],[TOTAL OPERATOR HOURS]]*Table139159[[#This Row],[OPERATOR RATE]]</f>
        <v>0</v>
      </c>
      <c r="Q53" s="15">
        <v>0</v>
      </c>
      <c r="R53" s="13">
        <v>0</v>
      </c>
      <c r="S53" s="13">
        <v>0</v>
      </c>
      <c r="T53" s="28"/>
      <c r="U53" s="37">
        <f>SUM(Table139159[[#This Row],[OPERATOR COST]:[UTILITIES]])*Table139159[[#This Row],[FREQUENCY   (TIMES PER YEAR)]]</f>
        <v>0</v>
      </c>
      <c r="V53" s="11"/>
    </row>
    <row r="54" spans="1:22" s="9" customFormat="1" x14ac:dyDescent="0.25">
      <c r="A54" s="98" t="str">
        <f>IF(Table139159[[#This Row],[QUANTITY]]&gt;0, "YES", "NO")</f>
        <v>NO</v>
      </c>
      <c r="B54" s="27" t="s">
        <v>871</v>
      </c>
      <c r="C54" s="12" t="s">
        <v>36</v>
      </c>
      <c r="D54" s="12" t="s">
        <v>43</v>
      </c>
      <c r="E54" s="12" t="s">
        <v>20</v>
      </c>
      <c r="F54" s="12" t="s">
        <v>221</v>
      </c>
      <c r="G54" s="103" t="s">
        <v>204</v>
      </c>
      <c r="H54" s="103" t="s">
        <v>35</v>
      </c>
      <c r="I54" s="103">
        <f>1/5</f>
        <v>0.2</v>
      </c>
      <c r="J54" s="103">
        <f>IFERROR(VLOOKUP(Table139159[[#This Row],[WORK ORDER]], '1. BUILDING ASSET INVENTORY'!A:K, 10, FALSE),0)</f>
        <v>0</v>
      </c>
      <c r="K54" s="102" t="str">
        <f>IFERROR(VLOOKUP(Table139159[[#This Row],[WORK ORDER]], '1. BUILDING ASSET INVENTORY'!A:L, 11, FALSE),"")</f>
        <v>m</v>
      </c>
      <c r="L54" s="108">
        <v>1</v>
      </c>
      <c r="M54" s="196">
        <v>0.32</v>
      </c>
      <c r="N54" s="108">
        <f>Table139159[[#This Row],[OPERATOR HOURS (BASE)]]+Table139159[[#This Row],[QUANTITY]]*Table139159[[#This Row],[OPERATOR HOURS (PER UNIT)]]</f>
        <v>1</v>
      </c>
      <c r="O54" s="36">
        <f>'TABLE OF CONTENTS'!$K$34</f>
        <v>37.5</v>
      </c>
      <c r="P54" s="36">
        <f>Table139159[[#This Row],[TOTAL OPERATOR HOURS]]*Table139159[[#This Row],[OPERATOR RATE]]</f>
        <v>37.5</v>
      </c>
      <c r="Q54" s="15">
        <v>0</v>
      </c>
      <c r="R54" s="13">
        <v>50</v>
      </c>
      <c r="S54" s="13">
        <v>500</v>
      </c>
      <c r="T54" s="28"/>
      <c r="U54" s="37">
        <f>SUM(Table139159[[#This Row],[OPERATOR COST]:[UTILITIES]])*Table139159[[#This Row],[FREQUENCY   (TIMES PER YEAR)]]</f>
        <v>117.5</v>
      </c>
      <c r="V54" s="11"/>
    </row>
    <row r="55" spans="1:22" s="9" customFormat="1" x14ac:dyDescent="0.25">
      <c r="A55" s="98" t="str">
        <f>IF(Table139159[[#This Row],[QUANTITY]]&gt;0, "YES", "NO")</f>
        <v>NO</v>
      </c>
      <c r="B55" s="27" t="s">
        <v>818</v>
      </c>
      <c r="C55" s="12" t="s">
        <v>36</v>
      </c>
      <c r="D55" s="12" t="s">
        <v>43</v>
      </c>
      <c r="E55" s="12" t="s">
        <v>337</v>
      </c>
      <c r="F55" s="12" t="s">
        <v>222</v>
      </c>
      <c r="G55" s="103" t="s">
        <v>204</v>
      </c>
      <c r="H55" s="103" t="s">
        <v>12</v>
      </c>
      <c r="I55" s="103">
        <v>1</v>
      </c>
      <c r="J55" s="103">
        <f>IFERROR(VLOOKUP(Table139159[[#This Row],[WORK ORDER]], '1. BUILDING ASSET INVENTORY'!A:K, 10, FALSE),0)</f>
        <v>0</v>
      </c>
      <c r="K55" s="102" t="str">
        <f>IFERROR(VLOOKUP(Table139159[[#This Row],[WORK ORDER]], '1. BUILDING ASSET INVENTORY'!A:L, 11, FALSE),"")</f>
        <v>m</v>
      </c>
      <c r="L55" s="109">
        <v>1</v>
      </c>
      <c r="M55" s="197">
        <v>0.08</v>
      </c>
      <c r="N55" s="109">
        <f>Table139159[[#This Row],[OPERATOR HOURS (BASE)]]+Table139159[[#This Row],[QUANTITY]]*Table139159[[#This Row],[OPERATOR HOURS (PER UNIT)]]</f>
        <v>1</v>
      </c>
      <c r="O55" s="36">
        <f>'TABLE OF CONTENTS'!$K$34</f>
        <v>37.5</v>
      </c>
      <c r="P55" s="36">
        <f>Table139159[[#This Row],[TOTAL OPERATOR HOURS]]*Table139159[[#This Row],[OPERATOR RATE]]</f>
        <v>37.5</v>
      </c>
      <c r="Q55" s="15">
        <v>0</v>
      </c>
      <c r="R55" s="13">
        <v>0</v>
      </c>
      <c r="S55" s="13">
        <v>250</v>
      </c>
      <c r="T55" s="28"/>
      <c r="U55" s="37">
        <f>SUM(Table139159[[#This Row],[OPERATOR COST]:[UTILITIES]])*Table139159[[#This Row],[FREQUENCY   (TIMES PER YEAR)]]</f>
        <v>287.5</v>
      </c>
      <c r="V55" s="11"/>
    </row>
    <row r="56" spans="1:22" s="9" customFormat="1" hidden="1" x14ac:dyDescent="0.25">
      <c r="A56" s="98" t="str">
        <f>IF(Table139159[[#This Row],[QUANTITY]]&gt;0, "YES", "NO")</f>
        <v>NO</v>
      </c>
      <c r="B56" s="27" t="s">
        <v>893</v>
      </c>
      <c r="C56" s="12" t="s">
        <v>36</v>
      </c>
      <c r="D56" s="12" t="s">
        <v>43</v>
      </c>
      <c r="E56" s="12" t="s">
        <v>53</v>
      </c>
      <c r="F56" s="12" t="s">
        <v>53</v>
      </c>
      <c r="G56" s="103" t="s">
        <v>15</v>
      </c>
      <c r="H56" s="103" t="s">
        <v>12</v>
      </c>
      <c r="I56" s="103">
        <v>0</v>
      </c>
      <c r="J56" s="103">
        <f>IFERROR(VLOOKUP(Table139159[[#This Row],[WORK ORDER]], '1. BUILDING ASSET INVENTORY'!A:K, 10, FALSE),0)</f>
        <v>0</v>
      </c>
      <c r="K56" s="102" t="str">
        <f>IFERROR(VLOOKUP(Table139159[[#This Row],[WORK ORDER]], '1. BUILDING ASSET INVENTORY'!A:L, 11, FALSE),"")</f>
        <v/>
      </c>
      <c r="L56" s="109"/>
      <c r="M56" s="197"/>
      <c r="N56" s="109">
        <f>Table139159[[#This Row],[OPERATOR HOURS (BASE)]]+Table139159[[#This Row],[QUANTITY]]*Table139159[[#This Row],[OPERATOR HOURS (PER UNIT)]]</f>
        <v>0</v>
      </c>
      <c r="O56" s="36">
        <f>'TABLE OF CONTENTS'!$K$34</f>
        <v>37.5</v>
      </c>
      <c r="P56" s="36">
        <f>Table139159[[#This Row],[TOTAL OPERATOR HOURS]]*Table139159[[#This Row],[OPERATOR RATE]]</f>
        <v>0</v>
      </c>
      <c r="Q56" s="15">
        <v>0</v>
      </c>
      <c r="R56" s="13">
        <v>0</v>
      </c>
      <c r="S56" s="13">
        <v>0</v>
      </c>
      <c r="T56" s="28"/>
      <c r="U56" s="37">
        <f>SUM(Table139159[[#This Row],[OPERATOR COST]:[UTILITIES]])*Table139159[[#This Row],[FREQUENCY   (TIMES PER YEAR)]]</f>
        <v>0</v>
      </c>
      <c r="V56" s="11"/>
    </row>
    <row r="57" spans="1:22" s="9" customFormat="1" hidden="1" x14ac:dyDescent="0.25">
      <c r="A57" s="98" t="str">
        <f>IF(Table139159[[#This Row],[QUANTITY]]&gt;0, "YES", "NO")</f>
        <v>NO</v>
      </c>
      <c r="B57" s="27" t="s">
        <v>894</v>
      </c>
      <c r="C57" s="12" t="s">
        <v>36</v>
      </c>
      <c r="D57" s="12" t="s">
        <v>43</v>
      </c>
      <c r="E57" s="12" t="s">
        <v>53</v>
      </c>
      <c r="F57" s="12" t="s">
        <v>53</v>
      </c>
      <c r="G57" s="103" t="s">
        <v>15</v>
      </c>
      <c r="H57" s="103" t="s">
        <v>12</v>
      </c>
      <c r="I57" s="103">
        <v>0</v>
      </c>
      <c r="J57" s="103">
        <f>IFERROR(VLOOKUP(Table139159[[#This Row],[WORK ORDER]], '1. BUILDING ASSET INVENTORY'!A:K, 10, FALSE),0)</f>
        <v>0</v>
      </c>
      <c r="K57" s="102" t="str">
        <f>IFERROR(VLOOKUP(Table139159[[#This Row],[WORK ORDER]], '1. BUILDING ASSET INVENTORY'!A:L, 11, FALSE),"")</f>
        <v/>
      </c>
      <c r="L57" s="109"/>
      <c r="M57" s="197"/>
      <c r="N57" s="109">
        <f>Table139159[[#This Row],[OPERATOR HOURS (BASE)]]+Table139159[[#This Row],[QUANTITY]]*Table139159[[#This Row],[OPERATOR HOURS (PER UNIT)]]</f>
        <v>0</v>
      </c>
      <c r="O57" s="36">
        <f>'TABLE OF CONTENTS'!$K$34</f>
        <v>37.5</v>
      </c>
      <c r="P57" s="36">
        <f>Table139159[[#This Row],[TOTAL OPERATOR HOURS]]*Table139159[[#This Row],[OPERATOR RATE]]</f>
        <v>0</v>
      </c>
      <c r="Q57" s="15">
        <v>0</v>
      </c>
      <c r="R57" s="13">
        <v>0</v>
      </c>
      <c r="S57" s="13">
        <v>0</v>
      </c>
      <c r="T57" s="28"/>
      <c r="U57" s="37">
        <f>SUM(Table139159[[#This Row],[OPERATOR COST]:[UTILITIES]])*Table139159[[#This Row],[FREQUENCY   (TIMES PER YEAR)]]</f>
        <v>0</v>
      </c>
      <c r="V57" s="11"/>
    </row>
    <row r="58" spans="1:22" s="9" customFormat="1" hidden="1" x14ac:dyDescent="0.25">
      <c r="A58" s="98" t="str">
        <f>IF(Table139159[[#This Row],[QUANTITY]]&gt;0, "YES", "NO")</f>
        <v>NO</v>
      </c>
      <c r="B58" s="27" t="s">
        <v>895</v>
      </c>
      <c r="C58" s="12" t="s">
        <v>36</v>
      </c>
      <c r="D58" s="12" t="s">
        <v>43</v>
      </c>
      <c r="E58" s="12" t="s">
        <v>53</v>
      </c>
      <c r="F58" s="12" t="s">
        <v>53</v>
      </c>
      <c r="G58" s="103" t="s">
        <v>15</v>
      </c>
      <c r="H58" s="103" t="s">
        <v>12</v>
      </c>
      <c r="I58" s="103">
        <v>0</v>
      </c>
      <c r="J58" s="103">
        <f>IFERROR(VLOOKUP(Table139159[[#This Row],[WORK ORDER]], '1. BUILDING ASSET INVENTORY'!A:K, 10, FALSE),0)</f>
        <v>0</v>
      </c>
      <c r="K58" s="102" t="str">
        <f>IFERROR(VLOOKUP(Table139159[[#This Row],[WORK ORDER]], '1. BUILDING ASSET INVENTORY'!A:L, 11, FALSE),"")</f>
        <v/>
      </c>
      <c r="L58" s="109"/>
      <c r="M58" s="197"/>
      <c r="N58" s="109">
        <f>Table139159[[#This Row],[OPERATOR HOURS (BASE)]]+Table139159[[#This Row],[QUANTITY]]*Table139159[[#This Row],[OPERATOR HOURS (PER UNIT)]]</f>
        <v>0</v>
      </c>
      <c r="O58" s="36">
        <f>'TABLE OF CONTENTS'!$K$34</f>
        <v>37.5</v>
      </c>
      <c r="P58" s="36">
        <f>Table139159[[#This Row],[TOTAL OPERATOR HOURS]]*Table139159[[#This Row],[OPERATOR RATE]]</f>
        <v>0</v>
      </c>
      <c r="Q58" s="15">
        <v>0</v>
      </c>
      <c r="R58" s="13">
        <v>0</v>
      </c>
      <c r="S58" s="13">
        <v>0</v>
      </c>
      <c r="T58" s="28"/>
      <c r="U58" s="37">
        <f>SUM(Table139159[[#This Row],[OPERATOR COST]:[UTILITIES]])*Table139159[[#This Row],[FREQUENCY   (TIMES PER YEAR)]]</f>
        <v>0</v>
      </c>
      <c r="V58" s="11"/>
    </row>
    <row r="59" spans="1:22" s="9" customFormat="1" hidden="1" x14ac:dyDescent="0.25">
      <c r="A59" s="98" t="str">
        <f>IF(Table139159[[#This Row],[QUANTITY]]&gt;0, "YES", "NO")</f>
        <v>NO</v>
      </c>
      <c r="B59" s="27" t="s">
        <v>896</v>
      </c>
      <c r="C59" s="12" t="s">
        <v>36</v>
      </c>
      <c r="D59" s="12" t="s">
        <v>43</v>
      </c>
      <c r="E59" s="12" t="s">
        <v>53</v>
      </c>
      <c r="F59" s="12" t="s">
        <v>53</v>
      </c>
      <c r="G59" s="103" t="s">
        <v>15</v>
      </c>
      <c r="H59" s="103" t="s">
        <v>12</v>
      </c>
      <c r="I59" s="103">
        <v>0</v>
      </c>
      <c r="J59" s="103">
        <f>IFERROR(VLOOKUP(Table139159[[#This Row],[WORK ORDER]], '1. BUILDING ASSET INVENTORY'!A:K, 10, FALSE),0)</f>
        <v>0</v>
      </c>
      <c r="K59" s="102" t="str">
        <f>IFERROR(VLOOKUP(Table139159[[#This Row],[WORK ORDER]], '1. BUILDING ASSET INVENTORY'!A:L, 11, FALSE),"")</f>
        <v/>
      </c>
      <c r="L59" s="109"/>
      <c r="M59" s="197"/>
      <c r="N59" s="109">
        <f>Table139159[[#This Row],[OPERATOR HOURS (BASE)]]+Table139159[[#This Row],[QUANTITY]]*Table139159[[#This Row],[OPERATOR HOURS (PER UNIT)]]</f>
        <v>0</v>
      </c>
      <c r="O59" s="36">
        <f>'TABLE OF CONTENTS'!$K$34</f>
        <v>37.5</v>
      </c>
      <c r="P59" s="36">
        <f>Table139159[[#This Row],[TOTAL OPERATOR HOURS]]*Table139159[[#This Row],[OPERATOR RATE]]</f>
        <v>0</v>
      </c>
      <c r="Q59" s="15">
        <v>0</v>
      </c>
      <c r="R59" s="13">
        <v>0</v>
      </c>
      <c r="S59" s="13">
        <v>0</v>
      </c>
      <c r="T59" s="28"/>
      <c r="U59" s="37">
        <f>SUM(Table139159[[#This Row],[OPERATOR COST]:[UTILITIES]])*Table139159[[#This Row],[FREQUENCY   (TIMES PER YEAR)]]</f>
        <v>0</v>
      </c>
      <c r="V59" s="11"/>
    </row>
    <row r="60" spans="1:22" s="9" customFormat="1" x14ac:dyDescent="0.25">
      <c r="A60" s="98" t="str">
        <f>IF(Table139159[[#This Row],[QUANTITY]]&gt;0, "YES", "NO")</f>
        <v>NO</v>
      </c>
      <c r="B60" s="27" t="s">
        <v>872</v>
      </c>
      <c r="C60" s="12" t="s">
        <v>36</v>
      </c>
      <c r="D60" s="12" t="s">
        <v>44</v>
      </c>
      <c r="E60" s="12" t="s">
        <v>56</v>
      </c>
      <c r="F60" s="12" t="s">
        <v>368</v>
      </c>
      <c r="G60" s="103" t="s">
        <v>204</v>
      </c>
      <c r="H60" s="103" t="s">
        <v>35</v>
      </c>
      <c r="I60" s="103">
        <f>1/5</f>
        <v>0.2</v>
      </c>
      <c r="J60" s="103">
        <f>IFERROR(VLOOKUP(Table139159[[#This Row],[WORK ORDER]], '1. BUILDING ASSET INVENTORY'!A:K, 10, FALSE),0)</f>
        <v>0</v>
      </c>
      <c r="K60" s="102" t="str">
        <f>IFERROR(VLOOKUP(Table139159[[#This Row],[WORK ORDER]], '1. BUILDING ASSET INVENTORY'!A:L, 11, FALSE),"")</f>
        <v xml:space="preserve">m² </v>
      </c>
      <c r="L60" s="109">
        <v>1</v>
      </c>
      <c r="M60" s="197">
        <v>6.0000000000000001E-3</v>
      </c>
      <c r="N60" s="109">
        <f>Table139159[[#This Row],[OPERATOR HOURS (BASE)]]+Table139159[[#This Row],[QUANTITY]]*Table139159[[#This Row],[OPERATOR HOURS (PER UNIT)]]</f>
        <v>1</v>
      </c>
      <c r="O60" s="36">
        <f>'TABLE OF CONTENTS'!$K$34</f>
        <v>37.5</v>
      </c>
      <c r="P60" s="36">
        <f>Table139159[[#This Row],[TOTAL OPERATOR HOURS]]*Table139159[[#This Row],[OPERATOR RATE]]</f>
        <v>37.5</v>
      </c>
      <c r="Q60" s="14">
        <f>PRODUCT(Table139159[[#This Row],[QUANTITY]],3.5)</f>
        <v>0</v>
      </c>
      <c r="R60" s="13">
        <v>0</v>
      </c>
      <c r="S60" s="13">
        <v>0</v>
      </c>
      <c r="T60" s="28"/>
      <c r="U60" s="37">
        <f>SUM(Table139159[[#This Row],[OPERATOR COST]:[UTILITIES]])*Table139159[[#This Row],[FREQUENCY   (TIMES PER YEAR)]]</f>
        <v>7.5</v>
      </c>
      <c r="V60" s="11"/>
    </row>
    <row r="61" spans="1:22" s="9" customFormat="1" hidden="1" x14ac:dyDescent="0.25">
      <c r="A61" s="98" t="str">
        <f>IF(Table139159[[#This Row],[QUANTITY]]&gt;0, "YES", "NO")</f>
        <v>NO</v>
      </c>
      <c r="B61" s="27" t="s">
        <v>897</v>
      </c>
      <c r="C61" s="12" t="s">
        <v>36</v>
      </c>
      <c r="D61" s="12" t="s">
        <v>44</v>
      </c>
      <c r="E61" s="12" t="s">
        <v>53</v>
      </c>
      <c r="F61" s="12" t="s">
        <v>53</v>
      </c>
      <c r="G61" s="103" t="s">
        <v>15</v>
      </c>
      <c r="H61" s="103" t="s">
        <v>12</v>
      </c>
      <c r="I61" s="103">
        <v>0</v>
      </c>
      <c r="J61" s="103">
        <f>IFERROR(VLOOKUP(Table139159[[#This Row],[WORK ORDER]], '1. BUILDING ASSET INVENTORY'!A:K, 10, FALSE),0)</f>
        <v>0</v>
      </c>
      <c r="K61" s="102" t="str">
        <f>IFERROR(VLOOKUP(Table139159[[#This Row],[WORK ORDER]], '1. BUILDING ASSET INVENTORY'!A:L, 11, FALSE),"")</f>
        <v/>
      </c>
      <c r="L61" s="109"/>
      <c r="M61" s="197"/>
      <c r="N61" s="109">
        <f>Table139159[[#This Row],[OPERATOR HOURS (BASE)]]+Table139159[[#This Row],[QUANTITY]]*Table139159[[#This Row],[OPERATOR HOURS (PER UNIT)]]</f>
        <v>0</v>
      </c>
      <c r="O61" s="36">
        <f>'TABLE OF CONTENTS'!$K$34</f>
        <v>37.5</v>
      </c>
      <c r="P61" s="36">
        <f>Table139159[[#This Row],[TOTAL OPERATOR HOURS]]*Table139159[[#This Row],[OPERATOR RATE]]</f>
        <v>0</v>
      </c>
      <c r="Q61" s="14">
        <v>0</v>
      </c>
      <c r="R61" s="13">
        <v>0</v>
      </c>
      <c r="S61" s="13">
        <v>0</v>
      </c>
      <c r="T61" s="28"/>
      <c r="U61" s="37">
        <f>SUM(Table139159[[#This Row],[OPERATOR COST]:[UTILITIES]])*Table139159[[#This Row],[FREQUENCY   (TIMES PER YEAR)]]</f>
        <v>0</v>
      </c>
      <c r="V61" s="11"/>
    </row>
    <row r="62" spans="1:22" s="9" customFormat="1" x14ac:dyDescent="0.25">
      <c r="A62" s="98" t="str">
        <f>IF(Table139159[[#This Row],[QUANTITY]]&gt;0, "YES", "NO")</f>
        <v>NO</v>
      </c>
      <c r="B62" s="27" t="s">
        <v>819</v>
      </c>
      <c r="C62" s="12" t="s">
        <v>36</v>
      </c>
      <c r="D62" s="12" t="s">
        <v>44</v>
      </c>
      <c r="E62" s="12" t="s">
        <v>57</v>
      </c>
      <c r="F62" s="12" t="s">
        <v>369</v>
      </c>
      <c r="G62" s="103" t="s">
        <v>204</v>
      </c>
      <c r="H62" s="103" t="s">
        <v>35</v>
      </c>
      <c r="I62" s="103">
        <f>1/5</f>
        <v>0.2</v>
      </c>
      <c r="J62" s="103">
        <f>IFERROR(VLOOKUP(Table139159[[#This Row],[WORK ORDER]], '1. BUILDING ASSET INVENTORY'!A:K, 10, FALSE),0)</f>
        <v>0</v>
      </c>
      <c r="K62" s="102" t="str">
        <f>IFERROR(VLOOKUP(Table139159[[#This Row],[WORK ORDER]], '1. BUILDING ASSET INVENTORY'!A:L, 11, FALSE),"")</f>
        <v xml:space="preserve">m² </v>
      </c>
      <c r="L62" s="109">
        <v>1</v>
      </c>
      <c r="M62" s="197">
        <v>4.0000000000000001E-3</v>
      </c>
      <c r="N62" s="109">
        <f>Table139159[[#This Row],[OPERATOR HOURS (BASE)]]+Table139159[[#This Row],[QUANTITY]]*Table139159[[#This Row],[OPERATOR HOURS (PER UNIT)]]</f>
        <v>1</v>
      </c>
      <c r="O62" s="36">
        <f>'TABLE OF CONTENTS'!$K$34</f>
        <v>37.5</v>
      </c>
      <c r="P62" s="36">
        <f>Table139159[[#This Row],[TOTAL OPERATOR HOURS]]*Table139159[[#This Row],[OPERATOR RATE]]</f>
        <v>37.5</v>
      </c>
      <c r="Q62" s="14">
        <f>PRODUCT(Table139159[[#This Row],[QUANTITY]],3)</f>
        <v>0</v>
      </c>
      <c r="R62" s="13">
        <v>0</v>
      </c>
      <c r="S62" s="13">
        <v>0</v>
      </c>
      <c r="T62" s="28"/>
      <c r="U62" s="37">
        <f>SUM(Table139159[[#This Row],[OPERATOR COST]:[UTILITIES]])*Table139159[[#This Row],[FREQUENCY   (TIMES PER YEAR)]]</f>
        <v>7.5</v>
      </c>
      <c r="V62" s="11"/>
    </row>
    <row r="63" spans="1:22" s="7" customFormat="1" x14ac:dyDescent="0.25">
      <c r="A63" s="98" t="str">
        <f>IF(Table139159[[#This Row],[QUANTITY]]&gt;0, "YES", "NO")</f>
        <v>NO</v>
      </c>
      <c r="B63" s="27" t="s">
        <v>820</v>
      </c>
      <c r="C63" s="12" t="s">
        <v>36</v>
      </c>
      <c r="D63" s="12" t="s">
        <v>44</v>
      </c>
      <c r="E63" s="12" t="s">
        <v>57</v>
      </c>
      <c r="F63" s="12" t="s">
        <v>223</v>
      </c>
      <c r="G63" s="103" t="s">
        <v>204</v>
      </c>
      <c r="H63" s="103" t="s">
        <v>13</v>
      </c>
      <c r="I63" s="103">
        <v>2</v>
      </c>
      <c r="J63" s="103">
        <f>IFERROR(VLOOKUP(Table139159[[#This Row],[WORK ORDER]], '1. BUILDING ASSET INVENTORY'!A:K, 10, FALSE),0)</f>
        <v>0</v>
      </c>
      <c r="K63" s="102" t="str">
        <f>IFERROR(VLOOKUP(Table139159[[#This Row],[WORK ORDER]], '1. BUILDING ASSET INVENTORY'!A:L, 11, FALSE),"")</f>
        <v xml:space="preserve">m² </v>
      </c>
      <c r="L63" s="109">
        <v>1</v>
      </c>
      <c r="M63" s="197">
        <v>8.0000000000000002E-3</v>
      </c>
      <c r="N63" s="109">
        <f>Table139159[[#This Row],[OPERATOR HOURS (BASE)]]+Table139159[[#This Row],[QUANTITY]]*Table139159[[#This Row],[OPERATOR HOURS (PER UNIT)]]</f>
        <v>1</v>
      </c>
      <c r="O63" s="36">
        <f>'TABLE OF CONTENTS'!$K$34</f>
        <v>37.5</v>
      </c>
      <c r="P63" s="36">
        <f>Table139159[[#This Row],[TOTAL OPERATOR HOURS]]*Table139159[[#This Row],[OPERATOR RATE]]</f>
        <v>37.5</v>
      </c>
      <c r="Q63" s="14">
        <f>PRODUCT(Table139159[[#This Row],[QUANTITY]],0.5)</f>
        <v>0</v>
      </c>
      <c r="R63" s="13">
        <v>0</v>
      </c>
      <c r="S63" s="13">
        <v>0</v>
      </c>
      <c r="T63" s="28"/>
      <c r="U63" s="37">
        <f>SUM(Table139159[[#This Row],[OPERATOR COST]:[UTILITIES]])*Table139159[[#This Row],[FREQUENCY   (TIMES PER YEAR)]]</f>
        <v>75</v>
      </c>
      <c r="V63" s="10"/>
    </row>
    <row r="64" spans="1:22" s="9" customFormat="1" x14ac:dyDescent="0.25">
      <c r="A64" s="98" t="str">
        <f>IF(Table139159[[#This Row],[QUANTITY]]&gt;0, "YES", "NO")</f>
        <v>NO</v>
      </c>
      <c r="B64" s="27" t="s">
        <v>821</v>
      </c>
      <c r="C64" s="12" t="s">
        <v>36</v>
      </c>
      <c r="D64" s="12" t="s">
        <v>44</v>
      </c>
      <c r="E64" s="12" t="s">
        <v>57</v>
      </c>
      <c r="F64" s="12" t="s">
        <v>339</v>
      </c>
      <c r="G64" s="104" t="s">
        <v>204</v>
      </c>
      <c r="H64" s="104" t="s">
        <v>12</v>
      </c>
      <c r="I64" s="104">
        <v>1</v>
      </c>
      <c r="J64" s="104">
        <f>IFERROR(VLOOKUP(Table139159[[#This Row],[WORK ORDER]], '1. BUILDING ASSET INVENTORY'!A:K, 10, FALSE),0)</f>
        <v>0</v>
      </c>
      <c r="K64" s="102" t="str">
        <f>IFERROR(VLOOKUP(Table139159[[#This Row],[WORK ORDER]], '1. BUILDING ASSET INVENTORY'!A:L, 11, FALSE),"")</f>
        <v xml:space="preserve">m² </v>
      </c>
      <c r="L64" s="109">
        <v>1</v>
      </c>
      <c r="M64" s="197">
        <v>4.0000000000000001E-3</v>
      </c>
      <c r="N64" s="109">
        <f>Table139159[[#This Row],[OPERATOR HOURS (BASE)]]+Table139159[[#This Row],[QUANTITY]]*Table139159[[#This Row],[OPERATOR HOURS (PER UNIT)]]</f>
        <v>1</v>
      </c>
      <c r="O64" s="36">
        <f>'TABLE OF CONTENTS'!$K$34</f>
        <v>37.5</v>
      </c>
      <c r="P64" s="36">
        <f>Table139159[[#This Row],[TOTAL OPERATOR HOURS]]*Table139159[[#This Row],[OPERATOR RATE]]</f>
        <v>37.5</v>
      </c>
      <c r="Q64" s="14">
        <f>PRODUCT(Table139159[[#This Row],[QUANTITY]],0.5)</f>
        <v>0</v>
      </c>
      <c r="R64" s="16">
        <v>0</v>
      </c>
      <c r="S64" s="16">
        <v>0</v>
      </c>
      <c r="T64" s="30"/>
      <c r="U64" s="37">
        <f>SUM(Table139159[[#This Row],[OPERATOR COST]:[UTILITIES]])*Table139159[[#This Row],[FREQUENCY   (TIMES PER YEAR)]]</f>
        <v>37.5</v>
      </c>
      <c r="V64" s="11"/>
    </row>
    <row r="65" spans="1:22" s="9" customFormat="1" x14ac:dyDescent="0.25">
      <c r="A65" s="98" t="str">
        <f>IF(Table139159[[#This Row],[QUANTITY]]&gt;0, "YES", "NO")</f>
        <v>NO</v>
      </c>
      <c r="B65" s="27" t="s">
        <v>822</v>
      </c>
      <c r="C65" s="12" t="s">
        <v>36</v>
      </c>
      <c r="D65" s="12" t="s">
        <v>44</v>
      </c>
      <c r="E65" s="12" t="s">
        <v>55</v>
      </c>
      <c r="F65" s="12" t="s">
        <v>224</v>
      </c>
      <c r="G65" s="103" t="s">
        <v>204</v>
      </c>
      <c r="H65" s="103" t="s">
        <v>13</v>
      </c>
      <c r="I65" s="103">
        <v>2</v>
      </c>
      <c r="J65" s="103">
        <f>IFERROR(VLOOKUP(Table139159[[#This Row],[WORK ORDER]], '1. BUILDING ASSET INVENTORY'!A:K, 10, FALSE),0)</f>
        <v>0</v>
      </c>
      <c r="K65" s="102" t="str">
        <f>IFERROR(VLOOKUP(Table139159[[#This Row],[WORK ORDER]], '1. BUILDING ASSET INVENTORY'!A:L, 11, FALSE),"")</f>
        <v xml:space="preserve">m² </v>
      </c>
      <c r="L65" s="109">
        <v>1</v>
      </c>
      <c r="M65" s="197">
        <v>4.0000000000000001E-3</v>
      </c>
      <c r="N65" s="109">
        <f>Table139159[[#This Row],[OPERATOR HOURS (BASE)]]+Table139159[[#This Row],[QUANTITY]]*Table139159[[#This Row],[OPERATOR HOURS (PER UNIT)]]</f>
        <v>1</v>
      </c>
      <c r="O65" s="36">
        <f>'TABLE OF CONTENTS'!$K$34</f>
        <v>37.5</v>
      </c>
      <c r="P65" s="36">
        <f>Table139159[[#This Row],[TOTAL OPERATOR HOURS]]*Table139159[[#This Row],[OPERATOR RATE]]</f>
        <v>37.5</v>
      </c>
      <c r="Q65" s="14">
        <v>0</v>
      </c>
      <c r="R65" s="13">
        <v>50</v>
      </c>
      <c r="S65" s="13">
        <v>0</v>
      </c>
      <c r="T65" s="28"/>
      <c r="U65" s="37">
        <f>SUM(Table139159[[#This Row],[OPERATOR COST]:[UTILITIES]])*Table139159[[#This Row],[FREQUENCY   (TIMES PER YEAR)]]</f>
        <v>175</v>
      </c>
      <c r="V65" s="11"/>
    </row>
    <row r="66" spans="1:22" s="9" customFormat="1" x14ac:dyDescent="0.25">
      <c r="A66" s="98" t="str">
        <f>IF(Table139159[[#This Row],[QUANTITY]]&gt;0, "YES", "NO")</f>
        <v>NO</v>
      </c>
      <c r="B66" s="27" t="s">
        <v>823</v>
      </c>
      <c r="C66" s="12" t="s">
        <v>36</v>
      </c>
      <c r="D66" s="12" t="s">
        <v>44</v>
      </c>
      <c r="E66" s="12" t="s">
        <v>55</v>
      </c>
      <c r="F66" s="12" t="s">
        <v>225</v>
      </c>
      <c r="G66" s="103" t="s">
        <v>204</v>
      </c>
      <c r="H66" s="103" t="s">
        <v>13</v>
      </c>
      <c r="I66" s="103">
        <v>2</v>
      </c>
      <c r="J66" s="103">
        <f>IFERROR(VLOOKUP(Table139159[[#This Row],[WORK ORDER]], '1. BUILDING ASSET INVENTORY'!A:K, 10, FALSE),0)</f>
        <v>0</v>
      </c>
      <c r="K66" s="102" t="str">
        <f>IFERROR(VLOOKUP(Table139159[[#This Row],[WORK ORDER]], '1. BUILDING ASSET INVENTORY'!A:L, 11, FALSE),"")</f>
        <v xml:space="preserve">m² </v>
      </c>
      <c r="L66" s="108">
        <v>1</v>
      </c>
      <c r="M66" s="196">
        <v>8.0000000000000002E-3</v>
      </c>
      <c r="N66" s="108">
        <f>Table139159[[#This Row],[OPERATOR HOURS (BASE)]]+Table139159[[#This Row],[QUANTITY]]*Table139159[[#This Row],[OPERATOR HOURS (PER UNIT)]]</f>
        <v>1</v>
      </c>
      <c r="O66" s="36">
        <f>'TABLE OF CONTENTS'!$K$34</f>
        <v>37.5</v>
      </c>
      <c r="P66" s="36">
        <f>Table139159[[#This Row],[TOTAL OPERATOR HOURS]]*Table139159[[#This Row],[OPERATOR RATE]]</f>
        <v>37.5</v>
      </c>
      <c r="Q66" s="14">
        <v>0</v>
      </c>
      <c r="R66" s="13">
        <v>0</v>
      </c>
      <c r="S66" s="13">
        <f>75*(Table139159[[#This Row],[QUANTITY]]*0.05)</f>
        <v>0</v>
      </c>
      <c r="T66" s="28"/>
      <c r="U66" s="37">
        <f>SUM(Table139159[[#This Row],[OPERATOR COST]:[UTILITIES]])*Table139159[[#This Row],[FREQUENCY   (TIMES PER YEAR)]]</f>
        <v>75</v>
      </c>
      <c r="V66" s="11"/>
    </row>
    <row r="67" spans="1:22" s="9" customFormat="1" x14ac:dyDescent="0.25">
      <c r="A67" s="98" t="str">
        <f>IF(Table139159[[#This Row],[QUANTITY]]&gt;0, "YES", "NO")</f>
        <v>NO</v>
      </c>
      <c r="B67" s="27" t="s">
        <v>824</v>
      </c>
      <c r="C67" s="12" t="s">
        <v>36</v>
      </c>
      <c r="D67" s="12" t="s">
        <v>44</v>
      </c>
      <c r="E67" s="12" t="s">
        <v>55</v>
      </c>
      <c r="F67" s="12" t="s">
        <v>226</v>
      </c>
      <c r="G67" s="103" t="s">
        <v>204</v>
      </c>
      <c r="H67" s="103" t="s">
        <v>8</v>
      </c>
      <c r="I67" s="103">
        <v>1</v>
      </c>
      <c r="J67" s="103">
        <f>IFERROR(VLOOKUP(Table139159[[#This Row],[WORK ORDER]], '1. BUILDING ASSET INVENTORY'!A:K, 10, FALSE),0)</f>
        <v>0</v>
      </c>
      <c r="K67" s="102" t="str">
        <f>IFERROR(VLOOKUP(Table139159[[#This Row],[WORK ORDER]], '1. BUILDING ASSET INVENTORY'!A:L, 11, FALSE),"")</f>
        <v xml:space="preserve">m² </v>
      </c>
      <c r="L67" s="108">
        <v>1</v>
      </c>
      <c r="M67" s="196">
        <v>4.0000000000000001E-3</v>
      </c>
      <c r="N67" s="108">
        <f>Table139159[[#This Row],[OPERATOR HOURS (BASE)]]+Table139159[[#This Row],[QUANTITY]]*Table139159[[#This Row],[OPERATOR HOURS (PER UNIT)]]</f>
        <v>1</v>
      </c>
      <c r="O67" s="36">
        <f>'TABLE OF CONTENTS'!$K$34</f>
        <v>37.5</v>
      </c>
      <c r="P67" s="36">
        <f>Table139159[[#This Row],[TOTAL OPERATOR HOURS]]*Table139159[[#This Row],[OPERATOR RATE]]</f>
        <v>37.5</v>
      </c>
      <c r="Q67" s="14">
        <v>0</v>
      </c>
      <c r="R67" s="13">
        <v>0</v>
      </c>
      <c r="S67" s="13">
        <v>0</v>
      </c>
      <c r="T67" s="28"/>
      <c r="U67" s="37">
        <f>SUM(Table139159[[#This Row],[OPERATOR COST]:[UTILITIES]])*Table139159[[#This Row],[FREQUENCY   (TIMES PER YEAR)]]</f>
        <v>37.5</v>
      </c>
      <c r="V67" s="11"/>
    </row>
    <row r="68" spans="1:22" s="9" customFormat="1" x14ac:dyDescent="0.25">
      <c r="A68" s="98" t="str">
        <f>IF(Table139159[[#This Row],[QUANTITY]]&gt;0, "YES", "NO")</f>
        <v>NO</v>
      </c>
      <c r="B68" s="27" t="s">
        <v>825</v>
      </c>
      <c r="C68" s="12" t="s">
        <v>36</v>
      </c>
      <c r="D68" s="12" t="s">
        <v>44</v>
      </c>
      <c r="E68" s="12" t="s">
        <v>337</v>
      </c>
      <c r="F68" s="12" t="s">
        <v>338</v>
      </c>
      <c r="G68" s="103" t="s">
        <v>204</v>
      </c>
      <c r="H68" s="103" t="s">
        <v>12</v>
      </c>
      <c r="I68" s="103">
        <v>4</v>
      </c>
      <c r="J68" s="103">
        <f>IFERROR(VLOOKUP(Table139159[[#This Row],[WORK ORDER]], '1. BUILDING ASSET INVENTORY'!A:K, 10, FALSE),0)</f>
        <v>0</v>
      </c>
      <c r="K68" s="102" t="str">
        <f>IFERROR(VLOOKUP(Table139159[[#This Row],[WORK ORDER]], '1. BUILDING ASSET INVENTORY'!A:L, 11, FALSE),"")</f>
        <v xml:space="preserve">m² </v>
      </c>
      <c r="L68" s="108">
        <v>1</v>
      </c>
      <c r="M68" s="196">
        <v>4.0000000000000001E-3</v>
      </c>
      <c r="N68" s="108">
        <f>Table139159[[#This Row],[OPERATOR HOURS (BASE)]]+Table139159[[#This Row],[QUANTITY]]*Table139159[[#This Row],[OPERATOR HOURS (PER UNIT)]]</f>
        <v>1</v>
      </c>
      <c r="O68" s="36">
        <f>'TABLE OF CONTENTS'!$K$34</f>
        <v>37.5</v>
      </c>
      <c r="P68" s="36">
        <f>Table139159[[#This Row],[TOTAL OPERATOR HOURS]]*Table139159[[#This Row],[OPERATOR RATE]]</f>
        <v>37.5</v>
      </c>
      <c r="Q68" s="14">
        <f>PRODUCT(Table139159[[#This Row],[QUANTITY]],0.3)</f>
        <v>0</v>
      </c>
      <c r="R68" s="13">
        <v>0</v>
      </c>
      <c r="S68" s="13">
        <v>20</v>
      </c>
      <c r="T68" s="28"/>
      <c r="U68" s="37">
        <f>SUM(Table139159[[#This Row],[OPERATOR COST]:[UTILITIES]])*Table139159[[#This Row],[FREQUENCY   (TIMES PER YEAR)]]</f>
        <v>230</v>
      </c>
      <c r="V68" s="11"/>
    </row>
    <row r="69" spans="1:22" s="9" customFormat="1" hidden="1" x14ac:dyDescent="0.25">
      <c r="A69" s="98" t="str">
        <f>IF(Table139159[[#This Row],[QUANTITY]]&gt;0, "YES", "NO")</f>
        <v>NO</v>
      </c>
      <c r="B69" s="27" t="s">
        <v>380</v>
      </c>
      <c r="C69" s="12" t="s">
        <v>36</v>
      </c>
      <c r="D69" s="12" t="s">
        <v>44</v>
      </c>
      <c r="E69" s="12" t="s">
        <v>53</v>
      </c>
      <c r="F69" s="12" t="s">
        <v>53</v>
      </c>
      <c r="G69" s="103" t="s">
        <v>15</v>
      </c>
      <c r="H69" s="103" t="s">
        <v>12</v>
      </c>
      <c r="I69" s="103">
        <v>2</v>
      </c>
      <c r="J69" s="103">
        <f>IFERROR(VLOOKUP(Table139159[[#This Row],[WORK ORDER]], '1. BUILDING ASSET INVENTORY'!A:K, 10, FALSE),0)</f>
        <v>0</v>
      </c>
      <c r="K69" s="102" t="str">
        <f>IFERROR(VLOOKUP(Table139159[[#This Row],[WORK ORDER]], '1. BUILDING ASSET INVENTORY'!A:L, 11, FALSE),"")</f>
        <v/>
      </c>
      <c r="L69" s="108"/>
      <c r="M69" s="196"/>
      <c r="N69" s="108">
        <f>Table139159[[#This Row],[OPERATOR HOURS (BASE)]]+Table139159[[#This Row],[QUANTITY]]*Table139159[[#This Row],[OPERATOR HOURS (PER UNIT)]]</f>
        <v>0</v>
      </c>
      <c r="O69" s="36">
        <f>'TABLE OF CONTENTS'!$K$34</f>
        <v>37.5</v>
      </c>
      <c r="P69" s="36">
        <f>Table139159[[#This Row],[TOTAL OPERATOR HOURS]]*Table139159[[#This Row],[OPERATOR RATE]]</f>
        <v>0</v>
      </c>
      <c r="Q69" s="14">
        <v>0</v>
      </c>
      <c r="R69" s="13">
        <v>0</v>
      </c>
      <c r="S69" s="13">
        <v>0</v>
      </c>
      <c r="T69" s="28"/>
      <c r="U69" s="37">
        <f>SUM(Table139159[[#This Row],[OPERATOR COST]:[UTILITIES]])*Table139159[[#This Row],[FREQUENCY   (TIMES PER YEAR)]]</f>
        <v>0</v>
      </c>
      <c r="V69" s="11"/>
    </row>
    <row r="70" spans="1:22" s="9" customFormat="1" hidden="1" x14ac:dyDescent="0.25">
      <c r="A70" s="98" t="str">
        <f>IF(Table139159[[#This Row],[QUANTITY]]&gt;0, "YES", "NO")</f>
        <v>NO</v>
      </c>
      <c r="B70" s="27" t="s">
        <v>873</v>
      </c>
      <c r="C70" s="12" t="s">
        <v>36</v>
      </c>
      <c r="D70" s="12" t="s">
        <v>45</v>
      </c>
      <c r="E70" s="12" t="s">
        <v>19</v>
      </c>
      <c r="F70" s="12" t="s">
        <v>227</v>
      </c>
      <c r="G70" s="103" t="s">
        <v>217</v>
      </c>
      <c r="H70" s="103" t="s">
        <v>12</v>
      </c>
      <c r="I70" s="103">
        <v>0.2</v>
      </c>
      <c r="J70" s="103">
        <f>IFERROR(VLOOKUP(Table139159[[#This Row],[WORK ORDER]], '1. BUILDING ASSET INVENTORY'!A:K, 10, FALSE),0)</f>
        <v>0</v>
      </c>
      <c r="K70" s="102" t="str">
        <f>IFERROR(VLOOKUP(Table139159[[#This Row],[WORK ORDER]], '1. BUILDING ASSET INVENTORY'!A:L, 11, FALSE),"")</f>
        <v>Each</v>
      </c>
      <c r="L70" s="109">
        <v>1</v>
      </c>
      <c r="M70" s="197">
        <v>4</v>
      </c>
      <c r="N70" s="109">
        <f>Table139159[[#This Row],[OPERATOR HOURS (BASE)]]+Table139159[[#This Row],[QUANTITY]]*Table139159[[#This Row],[OPERATOR HOURS (PER UNIT)]]</f>
        <v>1</v>
      </c>
      <c r="O70" s="36">
        <f>'TABLE OF CONTENTS'!$K$34</f>
        <v>37.5</v>
      </c>
      <c r="P70" s="36">
        <f>Table139159[[#This Row],[TOTAL OPERATOR HOURS]]*Table139159[[#This Row],[OPERATOR RATE]]</f>
        <v>37.5</v>
      </c>
      <c r="Q70" s="15">
        <v>2000</v>
      </c>
      <c r="R70" s="13">
        <v>0</v>
      </c>
      <c r="S70" s="13">
        <v>0</v>
      </c>
      <c r="T70" s="28"/>
      <c r="U70" s="37">
        <f>SUM(Table139159[[#This Row],[OPERATOR COST]:[UTILITIES]])*Table139159[[#This Row],[FREQUENCY   (TIMES PER YEAR)]]</f>
        <v>407.5</v>
      </c>
      <c r="V70" s="11"/>
    </row>
    <row r="71" spans="1:22" s="9" customFormat="1" x14ac:dyDescent="0.25">
      <c r="A71" s="98" t="str">
        <f>IF(Table139159[[#This Row],[QUANTITY]]&gt;0, "YES", "NO")</f>
        <v>NO</v>
      </c>
      <c r="B71" s="27" t="s">
        <v>826</v>
      </c>
      <c r="C71" s="12" t="s">
        <v>36</v>
      </c>
      <c r="D71" s="12" t="s">
        <v>45</v>
      </c>
      <c r="E71" s="12" t="s">
        <v>228</v>
      </c>
      <c r="F71" s="12" t="s">
        <v>229</v>
      </c>
      <c r="G71" s="103" t="s">
        <v>204</v>
      </c>
      <c r="H71" s="103" t="s">
        <v>230</v>
      </c>
      <c r="I71" s="103">
        <f>1/3</f>
        <v>0.33333333333333331</v>
      </c>
      <c r="J71" s="103">
        <f>IFERROR(VLOOKUP(Table139159[[#This Row],[WORK ORDER]], '1. BUILDING ASSET INVENTORY'!A:K, 10, FALSE),0)</f>
        <v>0</v>
      </c>
      <c r="K71" s="102" t="str">
        <f>IFERROR(VLOOKUP(Table139159[[#This Row],[WORK ORDER]], '1. BUILDING ASSET INVENTORY'!A:L, 11, FALSE),"")</f>
        <v>Each</v>
      </c>
      <c r="L71" s="109">
        <v>1</v>
      </c>
      <c r="M71" s="197">
        <v>1</v>
      </c>
      <c r="N71" s="109">
        <f>Table139159[[#This Row],[OPERATOR HOURS (BASE)]]+Table139159[[#This Row],[QUANTITY]]*Table139159[[#This Row],[OPERATOR HOURS (PER UNIT)]]</f>
        <v>1</v>
      </c>
      <c r="O71" s="36">
        <f>'TABLE OF CONTENTS'!$K$34</f>
        <v>37.5</v>
      </c>
      <c r="P71" s="36">
        <f>Table139159[[#This Row],[TOTAL OPERATOR HOURS]]*Table139159[[#This Row],[OPERATOR RATE]]</f>
        <v>37.5</v>
      </c>
      <c r="Q71" s="14">
        <f>PRODUCT(Table139159[[#This Row],[QUANTITY]],150)</f>
        <v>0</v>
      </c>
      <c r="R71" s="13">
        <v>0</v>
      </c>
      <c r="S71" s="13">
        <v>0</v>
      </c>
      <c r="T71" s="28"/>
      <c r="U71" s="37">
        <f>SUM(Table139159[[#This Row],[OPERATOR COST]:[UTILITIES]])*Table139159[[#This Row],[FREQUENCY   (TIMES PER YEAR)]]</f>
        <v>12.5</v>
      </c>
      <c r="V71" s="11"/>
    </row>
    <row r="72" spans="1:22" s="9" customFormat="1" x14ac:dyDescent="0.25">
      <c r="A72" s="98" t="str">
        <f>IF(Table139159[[#This Row],[QUANTITY]]&gt;0, "YES", "NO")</f>
        <v>NO</v>
      </c>
      <c r="B72" s="27" t="s">
        <v>827</v>
      </c>
      <c r="C72" s="12" t="s">
        <v>36</v>
      </c>
      <c r="D72" s="12" t="s">
        <v>45</v>
      </c>
      <c r="E72" s="12" t="s">
        <v>231</v>
      </c>
      <c r="F72" s="12" t="s">
        <v>232</v>
      </c>
      <c r="G72" s="103" t="s">
        <v>204</v>
      </c>
      <c r="H72" s="103" t="s">
        <v>12</v>
      </c>
      <c r="I72" s="103">
        <v>1</v>
      </c>
      <c r="J72" s="103">
        <f>IFERROR(VLOOKUP(Table139159[[#This Row],[WORK ORDER]], '1. BUILDING ASSET INVENTORY'!A:K, 10, FALSE),0)</f>
        <v>0</v>
      </c>
      <c r="K72" s="102" t="str">
        <f>IFERROR(VLOOKUP(Table139159[[#This Row],[WORK ORDER]], '1. BUILDING ASSET INVENTORY'!A:L, 11, FALSE),"")</f>
        <v>m</v>
      </c>
      <c r="L72" s="109">
        <v>1</v>
      </c>
      <c r="M72" s="197">
        <v>0.08</v>
      </c>
      <c r="N72" s="109">
        <f>Table139159[[#This Row],[OPERATOR HOURS (BASE)]]+Table139159[[#This Row],[QUANTITY]]*Table139159[[#This Row],[OPERATOR HOURS (PER UNIT)]]</f>
        <v>1</v>
      </c>
      <c r="O72" s="36">
        <f>'TABLE OF CONTENTS'!$K$34</f>
        <v>37.5</v>
      </c>
      <c r="P72" s="36">
        <f>Table139159[[#This Row],[TOTAL OPERATOR HOURS]]*Table139159[[#This Row],[OPERATOR RATE]]</f>
        <v>37.5</v>
      </c>
      <c r="Q72" s="14">
        <f>PRODUCT(Table139159[[#This Row],[QUANTITY]],10)</f>
        <v>0</v>
      </c>
      <c r="R72" s="13">
        <v>0</v>
      </c>
      <c r="S72" s="13">
        <v>200</v>
      </c>
      <c r="T72" s="28"/>
      <c r="U72" s="37">
        <f>SUM(Table139159[[#This Row],[OPERATOR COST]:[UTILITIES]])*Table139159[[#This Row],[FREQUENCY   (TIMES PER YEAR)]]</f>
        <v>237.5</v>
      </c>
      <c r="V72" s="11"/>
    </row>
    <row r="73" spans="1:22" s="9" customFormat="1" hidden="1" x14ac:dyDescent="0.25">
      <c r="A73" s="98" t="str">
        <f>IF(Table139159[[#This Row],[QUANTITY]]&gt;0, "YES", "NO")</f>
        <v>NO</v>
      </c>
      <c r="B73" s="27" t="s">
        <v>898</v>
      </c>
      <c r="C73" s="12" t="s">
        <v>36</v>
      </c>
      <c r="D73" s="12" t="s">
        <v>45</v>
      </c>
      <c r="E73" s="12" t="s">
        <v>53</v>
      </c>
      <c r="F73" s="12" t="s">
        <v>53</v>
      </c>
      <c r="G73" s="103" t="s">
        <v>15</v>
      </c>
      <c r="H73" s="103" t="s">
        <v>12</v>
      </c>
      <c r="I73" s="103">
        <v>0</v>
      </c>
      <c r="J73" s="103">
        <f>IFERROR(VLOOKUP(Table139159[[#This Row],[WORK ORDER]], '1. BUILDING ASSET INVENTORY'!A:K, 10, FALSE),0)</f>
        <v>0</v>
      </c>
      <c r="K73" s="102" t="str">
        <f>IFERROR(VLOOKUP(Table139159[[#This Row],[WORK ORDER]], '1. BUILDING ASSET INVENTORY'!A:L, 11, FALSE),"")</f>
        <v/>
      </c>
      <c r="L73" s="109"/>
      <c r="M73" s="197"/>
      <c r="N73" s="109">
        <f>Table139159[[#This Row],[OPERATOR HOURS (BASE)]]+Table139159[[#This Row],[QUANTITY]]*Table139159[[#This Row],[OPERATOR HOURS (PER UNIT)]]</f>
        <v>0</v>
      </c>
      <c r="O73" s="36">
        <f>'TABLE OF CONTENTS'!$K$34</f>
        <v>37.5</v>
      </c>
      <c r="P73" s="36">
        <f>Table139159[[#This Row],[TOTAL OPERATOR HOURS]]*Table139159[[#This Row],[OPERATOR RATE]]</f>
        <v>0</v>
      </c>
      <c r="Q73" s="14">
        <v>0</v>
      </c>
      <c r="R73" s="13">
        <v>0</v>
      </c>
      <c r="S73" s="13">
        <v>0</v>
      </c>
      <c r="T73" s="28"/>
      <c r="U73" s="37">
        <f>SUM(Table139159[[#This Row],[OPERATOR COST]:[UTILITIES]])*Table139159[[#This Row],[FREQUENCY   (TIMES PER YEAR)]]</f>
        <v>0</v>
      </c>
      <c r="V73" s="11"/>
    </row>
    <row r="74" spans="1:22" s="9" customFormat="1" hidden="1" x14ac:dyDescent="0.25">
      <c r="A74" s="98" t="str">
        <f>IF(Table139159[[#This Row],[QUANTITY]]&gt;0, "YES", "NO")</f>
        <v>NO</v>
      </c>
      <c r="B74" s="27" t="s">
        <v>899</v>
      </c>
      <c r="C74" s="12" t="s">
        <v>36</v>
      </c>
      <c r="D74" s="12" t="s">
        <v>45</v>
      </c>
      <c r="E74" s="12" t="s">
        <v>53</v>
      </c>
      <c r="F74" s="12" t="s">
        <v>53</v>
      </c>
      <c r="G74" s="103" t="s">
        <v>15</v>
      </c>
      <c r="H74" s="103" t="s">
        <v>12</v>
      </c>
      <c r="I74" s="103">
        <v>0</v>
      </c>
      <c r="J74" s="103">
        <f>IFERROR(VLOOKUP(Table139159[[#This Row],[WORK ORDER]], '1. BUILDING ASSET INVENTORY'!A:K, 10, FALSE),0)</f>
        <v>0</v>
      </c>
      <c r="K74" s="102" t="str">
        <f>IFERROR(VLOOKUP(Table139159[[#This Row],[WORK ORDER]], '1. BUILDING ASSET INVENTORY'!A:L, 11, FALSE),"")</f>
        <v/>
      </c>
      <c r="L74" s="109"/>
      <c r="M74" s="197"/>
      <c r="N74" s="109">
        <f>Table139159[[#This Row],[OPERATOR HOURS (BASE)]]+Table139159[[#This Row],[QUANTITY]]*Table139159[[#This Row],[OPERATOR HOURS (PER UNIT)]]</f>
        <v>0</v>
      </c>
      <c r="O74" s="36">
        <f>'TABLE OF CONTENTS'!$K$34</f>
        <v>37.5</v>
      </c>
      <c r="P74" s="36">
        <f>Table139159[[#This Row],[TOTAL OPERATOR HOURS]]*Table139159[[#This Row],[OPERATOR RATE]]</f>
        <v>0</v>
      </c>
      <c r="Q74" s="14">
        <v>0</v>
      </c>
      <c r="R74" s="13">
        <v>0</v>
      </c>
      <c r="S74" s="13">
        <v>0</v>
      </c>
      <c r="T74" s="28"/>
      <c r="U74" s="37">
        <f>SUM(Table139159[[#This Row],[OPERATOR COST]:[UTILITIES]])*Table139159[[#This Row],[FREQUENCY   (TIMES PER YEAR)]]</f>
        <v>0</v>
      </c>
      <c r="V74" s="11"/>
    </row>
    <row r="75" spans="1:22" s="9" customFormat="1" hidden="1" x14ac:dyDescent="0.25">
      <c r="A75" s="98" t="str">
        <f>IF(Table139159[[#This Row],[QUANTITY]]&gt;0, "YES", "NO")</f>
        <v>NO</v>
      </c>
      <c r="B75" s="27" t="s">
        <v>900</v>
      </c>
      <c r="C75" s="12" t="s">
        <v>36</v>
      </c>
      <c r="D75" s="12" t="s">
        <v>45</v>
      </c>
      <c r="E75" s="12" t="s">
        <v>53</v>
      </c>
      <c r="F75" s="12" t="s">
        <v>53</v>
      </c>
      <c r="G75" s="103" t="s">
        <v>15</v>
      </c>
      <c r="H75" s="103" t="s">
        <v>12</v>
      </c>
      <c r="I75" s="103">
        <v>0</v>
      </c>
      <c r="J75" s="103">
        <f>IFERROR(VLOOKUP(Table139159[[#This Row],[WORK ORDER]], '1. BUILDING ASSET INVENTORY'!A:K, 10, FALSE),0)</f>
        <v>0</v>
      </c>
      <c r="K75" s="102" t="str">
        <f>IFERROR(VLOOKUP(Table139159[[#This Row],[WORK ORDER]], '1. BUILDING ASSET INVENTORY'!A:L, 11, FALSE),"")</f>
        <v/>
      </c>
      <c r="L75" s="109"/>
      <c r="M75" s="197"/>
      <c r="N75" s="109">
        <f>Table139159[[#This Row],[OPERATOR HOURS (BASE)]]+Table139159[[#This Row],[QUANTITY]]*Table139159[[#This Row],[OPERATOR HOURS (PER UNIT)]]</f>
        <v>0</v>
      </c>
      <c r="O75" s="36">
        <f>'TABLE OF CONTENTS'!$K$34</f>
        <v>37.5</v>
      </c>
      <c r="P75" s="36">
        <f>Table139159[[#This Row],[TOTAL OPERATOR HOURS]]*Table139159[[#This Row],[OPERATOR RATE]]</f>
        <v>0</v>
      </c>
      <c r="Q75" s="14">
        <v>0</v>
      </c>
      <c r="R75" s="13">
        <v>0</v>
      </c>
      <c r="S75" s="13">
        <v>0</v>
      </c>
      <c r="T75" s="28"/>
      <c r="U75" s="37">
        <f>SUM(Table139159[[#This Row],[OPERATOR COST]:[UTILITIES]])*Table139159[[#This Row],[FREQUENCY   (TIMES PER YEAR)]]</f>
        <v>0</v>
      </c>
      <c r="V75" s="11"/>
    </row>
    <row r="76" spans="1:22" s="9" customFormat="1" hidden="1" x14ac:dyDescent="0.25">
      <c r="A76" s="98" t="str">
        <f>IF(Table139159[[#This Row],[QUANTITY]]&gt;0, "YES", "NO")</f>
        <v>NO</v>
      </c>
      <c r="B76" s="41" t="s">
        <v>901</v>
      </c>
      <c r="C76" s="20" t="s">
        <v>64</v>
      </c>
      <c r="D76" s="20" t="s">
        <v>58</v>
      </c>
      <c r="E76" s="20" t="s">
        <v>53</v>
      </c>
      <c r="F76" s="20" t="s">
        <v>53</v>
      </c>
      <c r="G76" s="105" t="s">
        <v>15</v>
      </c>
      <c r="H76" s="105" t="s">
        <v>12</v>
      </c>
      <c r="I76" s="105">
        <v>0</v>
      </c>
      <c r="J76" s="105">
        <f>IFERROR(VLOOKUP(Table139159[[#This Row],[WORK ORDER]], '1. BUILDING ASSET INVENTORY'!A:K, 10, FALSE),0)</f>
        <v>0</v>
      </c>
      <c r="K76" s="102" t="str">
        <f>IFERROR(VLOOKUP(Table139159[[#This Row],[WORK ORDER]], '1. BUILDING ASSET INVENTORY'!A:L, 11, FALSE),"")</f>
        <v/>
      </c>
      <c r="L76" s="110"/>
      <c r="M76" s="198"/>
      <c r="N76" s="110">
        <f>Table139159[[#This Row],[OPERATOR HOURS (BASE)]]+Table139159[[#This Row],[QUANTITY]]*Table139159[[#This Row],[OPERATOR HOURS (PER UNIT)]]</f>
        <v>0</v>
      </c>
      <c r="O76" s="36">
        <f>'TABLE OF CONTENTS'!$K$34</f>
        <v>37.5</v>
      </c>
      <c r="P76" s="36">
        <f>Table139159[[#This Row],[TOTAL OPERATOR HOURS]]*Table139159[[#This Row],[OPERATOR RATE]]</f>
        <v>0</v>
      </c>
      <c r="Q76" s="21">
        <v>0</v>
      </c>
      <c r="R76" s="22">
        <v>0</v>
      </c>
      <c r="S76" s="22">
        <v>0</v>
      </c>
      <c r="T76" s="32"/>
      <c r="U76" s="37">
        <f>SUM(Table139159[[#This Row],[OPERATOR COST]:[UTILITIES]])*Table139159[[#This Row],[FREQUENCY   (TIMES PER YEAR)]]</f>
        <v>0</v>
      </c>
      <c r="V76" s="11"/>
    </row>
    <row r="77" spans="1:22" s="9" customFormat="1" hidden="1" x14ac:dyDescent="0.25">
      <c r="A77" s="98" t="str">
        <f>IF(Table139159[[#This Row],[QUANTITY]]&gt;0, "YES", "NO")</f>
        <v>NO</v>
      </c>
      <c r="B77" s="27" t="s">
        <v>902</v>
      </c>
      <c r="C77" s="12" t="s">
        <v>64</v>
      </c>
      <c r="D77" s="12" t="s">
        <v>58</v>
      </c>
      <c r="E77" s="12" t="s">
        <v>53</v>
      </c>
      <c r="F77" s="12" t="s">
        <v>53</v>
      </c>
      <c r="G77" s="103" t="s">
        <v>15</v>
      </c>
      <c r="H77" s="103" t="s">
        <v>12</v>
      </c>
      <c r="I77" s="103">
        <v>0</v>
      </c>
      <c r="J77" s="103">
        <f>IFERROR(VLOOKUP(Table139159[[#This Row],[WORK ORDER]], '1. BUILDING ASSET INVENTORY'!A:K, 10, FALSE),0)</f>
        <v>0</v>
      </c>
      <c r="K77" s="102" t="str">
        <f>IFERROR(VLOOKUP(Table139159[[#This Row],[WORK ORDER]], '1. BUILDING ASSET INVENTORY'!A:L, 11, FALSE),"")</f>
        <v/>
      </c>
      <c r="L77" s="109"/>
      <c r="M77" s="197"/>
      <c r="N77" s="109">
        <f>Table139159[[#This Row],[OPERATOR HOURS (BASE)]]+Table139159[[#This Row],[QUANTITY]]*Table139159[[#This Row],[OPERATOR HOURS (PER UNIT)]]</f>
        <v>0</v>
      </c>
      <c r="O77" s="36">
        <f>'TABLE OF CONTENTS'!$K$34</f>
        <v>37.5</v>
      </c>
      <c r="P77" s="36">
        <f>Table139159[[#This Row],[TOTAL OPERATOR HOURS]]*Table139159[[#This Row],[OPERATOR RATE]]</f>
        <v>0</v>
      </c>
      <c r="Q77" s="15">
        <v>0</v>
      </c>
      <c r="R77" s="13">
        <v>0</v>
      </c>
      <c r="S77" s="13">
        <v>0</v>
      </c>
      <c r="T77" s="28"/>
      <c r="U77" s="37">
        <f>SUM(Table139159[[#This Row],[OPERATOR COST]:[UTILITIES]])*Table139159[[#This Row],[FREQUENCY   (TIMES PER YEAR)]]</f>
        <v>0</v>
      </c>
      <c r="V77" s="11"/>
    </row>
    <row r="78" spans="1:22" s="9" customFormat="1" hidden="1" x14ac:dyDescent="0.25">
      <c r="A78" s="98" t="str">
        <f>IF(Table139159[[#This Row],[QUANTITY]]&gt;0, "YES", "NO")</f>
        <v>NO</v>
      </c>
      <c r="B78" s="41" t="s">
        <v>903</v>
      </c>
      <c r="C78" s="20" t="s">
        <v>64</v>
      </c>
      <c r="D78" s="20" t="s">
        <v>58</v>
      </c>
      <c r="E78" s="20" t="s">
        <v>53</v>
      </c>
      <c r="F78" s="20" t="s">
        <v>53</v>
      </c>
      <c r="G78" s="105" t="s">
        <v>15</v>
      </c>
      <c r="H78" s="105" t="s">
        <v>12</v>
      </c>
      <c r="I78" s="105">
        <v>0</v>
      </c>
      <c r="J78" s="105">
        <f>IFERROR(VLOOKUP(Table139159[[#This Row],[WORK ORDER]], '1. BUILDING ASSET INVENTORY'!A:K, 10, FALSE),0)</f>
        <v>0</v>
      </c>
      <c r="K78" s="102" t="str">
        <f>IFERROR(VLOOKUP(Table139159[[#This Row],[WORK ORDER]], '1. BUILDING ASSET INVENTORY'!A:L, 11, FALSE),"")</f>
        <v/>
      </c>
      <c r="L78" s="110"/>
      <c r="M78" s="198"/>
      <c r="N78" s="110">
        <f>Table139159[[#This Row],[OPERATOR HOURS (BASE)]]+Table139159[[#This Row],[QUANTITY]]*Table139159[[#This Row],[OPERATOR HOURS (PER UNIT)]]</f>
        <v>0</v>
      </c>
      <c r="O78" s="36">
        <f>'TABLE OF CONTENTS'!$K$34</f>
        <v>37.5</v>
      </c>
      <c r="P78" s="36">
        <f>Table139159[[#This Row],[TOTAL OPERATOR HOURS]]*Table139159[[#This Row],[OPERATOR RATE]]</f>
        <v>0</v>
      </c>
      <c r="Q78" s="44">
        <v>0</v>
      </c>
      <c r="R78" s="22">
        <v>0</v>
      </c>
      <c r="S78" s="22">
        <v>0</v>
      </c>
      <c r="T78" s="32"/>
      <c r="U78" s="37">
        <f>SUM(Table139159[[#This Row],[OPERATOR COST]:[UTILITIES]])*Table139159[[#This Row],[FREQUENCY   (TIMES PER YEAR)]]</f>
        <v>0</v>
      </c>
      <c r="V78" s="11"/>
    </row>
    <row r="79" spans="1:22" hidden="1" x14ac:dyDescent="0.25">
      <c r="A79" s="98" t="str">
        <f>IF(Table139159[[#This Row],[QUANTITY]]&gt;0, "YES", "NO")</f>
        <v>NO</v>
      </c>
      <c r="B79" s="27" t="s">
        <v>904</v>
      </c>
      <c r="C79" s="12" t="s">
        <v>64</v>
      </c>
      <c r="D79" s="12" t="s">
        <v>58</v>
      </c>
      <c r="E79" s="12" t="s">
        <v>53</v>
      </c>
      <c r="F79" s="12" t="s">
        <v>53</v>
      </c>
      <c r="G79" s="103" t="s">
        <v>15</v>
      </c>
      <c r="H79" s="103" t="s">
        <v>12</v>
      </c>
      <c r="I79" s="103">
        <v>0</v>
      </c>
      <c r="J79" s="103">
        <f>IFERROR(VLOOKUP(Table139159[[#This Row],[WORK ORDER]], '1. BUILDING ASSET INVENTORY'!A:K, 10, FALSE),0)</f>
        <v>0</v>
      </c>
      <c r="K79" s="102" t="str">
        <f>IFERROR(VLOOKUP(Table139159[[#This Row],[WORK ORDER]], '1. BUILDING ASSET INVENTORY'!A:L, 11, FALSE),"")</f>
        <v/>
      </c>
      <c r="L79" s="109"/>
      <c r="M79" s="197"/>
      <c r="N79" s="109">
        <f>Table139159[[#This Row],[OPERATOR HOURS (BASE)]]+Table139159[[#This Row],[QUANTITY]]*Table139159[[#This Row],[OPERATOR HOURS (PER UNIT)]]</f>
        <v>0</v>
      </c>
      <c r="O79" s="36">
        <f>'TABLE OF CONTENTS'!$K$34</f>
        <v>37.5</v>
      </c>
      <c r="P79" s="36">
        <f>Table139159[[#This Row],[TOTAL OPERATOR HOURS]]*Table139159[[#This Row],[OPERATOR RATE]]</f>
        <v>0</v>
      </c>
      <c r="Q79" s="15">
        <v>0</v>
      </c>
      <c r="R79" s="13">
        <v>0</v>
      </c>
      <c r="S79" s="13">
        <v>0</v>
      </c>
      <c r="T79" s="28"/>
      <c r="U79" s="37">
        <f>SUM(Table139159[[#This Row],[OPERATOR COST]:[UTILITIES]])*Table139159[[#This Row],[FREQUENCY   (TIMES PER YEAR)]]</f>
        <v>0</v>
      </c>
    </row>
    <row r="80" spans="1:22" hidden="1" x14ac:dyDescent="0.25">
      <c r="A80" s="98" t="str">
        <f>IF(Table139159[[#This Row],[QUANTITY]]&gt;0, "YES", "NO")</f>
        <v>NO</v>
      </c>
      <c r="B80" s="27" t="s">
        <v>905</v>
      </c>
      <c r="C80" s="12" t="s">
        <v>64</v>
      </c>
      <c r="D80" s="12" t="s">
        <v>59</v>
      </c>
      <c r="E80" s="12" t="s">
        <v>53</v>
      </c>
      <c r="F80" s="12" t="s">
        <v>53</v>
      </c>
      <c r="G80" s="103" t="s">
        <v>15</v>
      </c>
      <c r="H80" s="103" t="s">
        <v>12</v>
      </c>
      <c r="I80" s="103">
        <v>0</v>
      </c>
      <c r="J80" s="103">
        <f>IFERROR(VLOOKUP(Table139159[[#This Row],[WORK ORDER]], '1. BUILDING ASSET INVENTORY'!A:K, 10, FALSE),0)</f>
        <v>0</v>
      </c>
      <c r="K80" s="102" t="str">
        <f>IFERROR(VLOOKUP(Table139159[[#This Row],[WORK ORDER]], '1. BUILDING ASSET INVENTORY'!A:L, 11, FALSE),"")</f>
        <v/>
      </c>
      <c r="L80" s="109"/>
      <c r="M80" s="197"/>
      <c r="N80" s="109">
        <f>Table139159[[#This Row],[OPERATOR HOURS (BASE)]]+Table139159[[#This Row],[QUANTITY]]*Table139159[[#This Row],[OPERATOR HOURS (PER UNIT)]]</f>
        <v>0</v>
      </c>
      <c r="O80" s="36">
        <f>'TABLE OF CONTENTS'!$K$34</f>
        <v>37.5</v>
      </c>
      <c r="P80" s="36">
        <f>Table139159[[#This Row],[TOTAL OPERATOR HOURS]]*Table139159[[#This Row],[OPERATOR RATE]]</f>
        <v>0</v>
      </c>
      <c r="Q80" s="14">
        <v>0</v>
      </c>
      <c r="R80" s="13">
        <v>0</v>
      </c>
      <c r="S80" s="13">
        <v>0</v>
      </c>
      <c r="T80" s="28"/>
      <c r="U80" s="37">
        <f>SUM(Table139159[[#This Row],[OPERATOR COST]:[UTILITIES]])*Table139159[[#This Row],[FREQUENCY   (TIMES PER YEAR)]]</f>
        <v>0</v>
      </c>
    </row>
    <row r="81" spans="1:21" hidden="1" x14ac:dyDescent="0.25">
      <c r="A81" s="98" t="str">
        <f>IF(Table139159[[#This Row],[QUANTITY]]&gt;0, "YES", "NO")</f>
        <v>NO</v>
      </c>
      <c r="B81" s="27" t="s">
        <v>906</v>
      </c>
      <c r="C81" s="12" t="s">
        <v>64</v>
      </c>
      <c r="D81" s="12" t="s">
        <v>59</v>
      </c>
      <c r="E81" s="12" t="s">
        <v>53</v>
      </c>
      <c r="F81" s="12" t="s">
        <v>53</v>
      </c>
      <c r="G81" s="103" t="s">
        <v>15</v>
      </c>
      <c r="H81" s="103" t="s">
        <v>12</v>
      </c>
      <c r="I81" s="103">
        <v>0</v>
      </c>
      <c r="J81" s="103">
        <f>IFERROR(VLOOKUP(Table139159[[#This Row],[WORK ORDER]], '1. BUILDING ASSET INVENTORY'!A:K, 10, FALSE),0)</f>
        <v>0</v>
      </c>
      <c r="K81" s="102" t="str">
        <f>IFERROR(VLOOKUP(Table139159[[#This Row],[WORK ORDER]], '1. BUILDING ASSET INVENTORY'!A:L, 11, FALSE),"")</f>
        <v/>
      </c>
      <c r="L81" s="109"/>
      <c r="M81" s="197"/>
      <c r="N81" s="109">
        <f>Table139159[[#This Row],[OPERATOR HOURS (BASE)]]+Table139159[[#This Row],[QUANTITY]]*Table139159[[#This Row],[OPERATOR HOURS (PER UNIT)]]</f>
        <v>0</v>
      </c>
      <c r="O81" s="36">
        <f>'TABLE OF CONTENTS'!$K$34</f>
        <v>37.5</v>
      </c>
      <c r="P81" s="36">
        <f>Table139159[[#This Row],[TOTAL OPERATOR HOURS]]*Table139159[[#This Row],[OPERATOR RATE]]</f>
        <v>0</v>
      </c>
      <c r="Q81" s="15">
        <v>0</v>
      </c>
      <c r="R81" s="13">
        <v>0</v>
      </c>
      <c r="S81" s="13">
        <v>0</v>
      </c>
      <c r="T81" s="28"/>
      <c r="U81" s="37">
        <f>SUM(Table139159[[#This Row],[OPERATOR COST]:[UTILITIES]])*Table139159[[#This Row],[FREQUENCY   (TIMES PER YEAR)]]</f>
        <v>0</v>
      </c>
    </row>
    <row r="82" spans="1:21" hidden="1" x14ac:dyDescent="0.25">
      <c r="A82" s="98" t="str">
        <f>IF(Table139159[[#This Row],[QUANTITY]]&gt;0, "YES", "NO")</f>
        <v>NO</v>
      </c>
      <c r="B82" s="27" t="s">
        <v>907</v>
      </c>
      <c r="C82" s="12" t="s">
        <v>64</v>
      </c>
      <c r="D82" s="12" t="s">
        <v>59</v>
      </c>
      <c r="E82" s="12" t="s">
        <v>53</v>
      </c>
      <c r="F82" s="12" t="s">
        <v>53</v>
      </c>
      <c r="G82" s="103" t="s">
        <v>15</v>
      </c>
      <c r="H82" s="103" t="s">
        <v>12</v>
      </c>
      <c r="I82" s="103">
        <v>0</v>
      </c>
      <c r="J82" s="103">
        <f>IFERROR(VLOOKUP(Table139159[[#This Row],[WORK ORDER]], '1. BUILDING ASSET INVENTORY'!A:K, 10, FALSE),0)</f>
        <v>0</v>
      </c>
      <c r="K82" s="102" t="str">
        <f>IFERROR(VLOOKUP(Table139159[[#This Row],[WORK ORDER]], '1. BUILDING ASSET INVENTORY'!A:L, 11, FALSE),"")</f>
        <v/>
      </c>
      <c r="L82" s="109"/>
      <c r="M82" s="197"/>
      <c r="N82" s="109">
        <f>Table139159[[#This Row],[OPERATOR HOURS (BASE)]]+Table139159[[#This Row],[QUANTITY]]*Table139159[[#This Row],[OPERATOR HOURS (PER UNIT)]]</f>
        <v>0</v>
      </c>
      <c r="O82" s="36">
        <f>'TABLE OF CONTENTS'!$K$34</f>
        <v>37.5</v>
      </c>
      <c r="P82" s="36">
        <f>Table139159[[#This Row],[TOTAL OPERATOR HOURS]]*Table139159[[#This Row],[OPERATOR RATE]]</f>
        <v>0</v>
      </c>
      <c r="Q82" s="15">
        <v>0</v>
      </c>
      <c r="R82" s="13">
        <v>0</v>
      </c>
      <c r="S82" s="13">
        <v>0</v>
      </c>
      <c r="T82" s="28"/>
      <c r="U82" s="37">
        <f>SUM(Table139159[[#This Row],[OPERATOR COST]:[UTILITIES]])*Table139159[[#This Row],[FREQUENCY   (TIMES PER YEAR)]]</f>
        <v>0</v>
      </c>
    </row>
    <row r="83" spans="1:21" hidden="1" x14ac:dyDescent="0.25">
      <c r="A83" s="98" t="str">
        <f>IF(Table139159[[#This Row],[QUANTITY]]&gt;0, "YES", "NO")</f>
        <v>NO</v>
      </c>
      <c r="B83" s="27" t="s">
        <v>908</v>
      </c>
      <c r="C83" s="12" t="s">
        <v>64</v>
      </c>
      <c r="D83" s="12" t="s">
        <v>59</v>
      </c>
      <c r="E83" s="12" t="s">
        <v>53</v>
      </c>
      <c r="F83" s="12" t="s">
        <v>53</v>
      </c>
      <c r="G83" s="103" t="s">
        <v>15</v>
      </c>
      <c r="H83" s="103" t="s">
        <v>12</v>
      </c>
      <c r="I83" s="103">
        <v>0</v>
      </c>
      <c r="J83" s="103">
        <f>IFERROR(VLOOKUP(Table139159[[#This Row],[WORK ORDER]], '1. BUILDING ASSET INVENTORY'!A:K, 10, FALSE),0)</f>
        <v>0</v>
      </c>
      <c r="K83" s="102" t="str">
        <f>IFERROR(VLOOKUP(Table139159[[#This Row],[WORK ORDER]], '1. BUILDING ASSET INVENTORY'!A:L, 11, FALSE),"")</f>
        <v/>
      </c>
      <c r="L83" s="109"/>
      <c r="M83" s="197"/>
      <c r="N83" s="109">
        <f>Table139159[[#This Row],[OPERATOR HOURS (BASE)]]+Table139159[[#This Row],[QUANTITY]]*Table139159[[#This Row],[OPERATOR HOURS (PER UNIT)]]</f>
        <v>0</v>
      </c>
      <c r="O83" s="36">
        <f>'TABLE OF CONTENTS'!$K$34</f>
        <v>37.5</v>
      </c>
      <c r="P83" s="36">
        <f>Table139159[[#This Row],[TOTAL OPERATOR HOURS]]*Table139159[[#This Row],[OPERATOR RATE]]</f>
        <v>0</v>
      </c>
      <c r="Q83" s="15">
        <v>0</v>
      </c>
      <c r="R83" s="13">
        <v>0</v>
      </c>
      <c r="S83" s="13">
        <v>0</v>
      </c>
      <c r="T83" s="28"/>
      <c r="U83" s="37">
        <f>SUM(Table139159[[#This Row],[OPERATOR COST]:[UTILITIES]])*Table139159[[#This Row],[FREQUENCY   (TIMES PER YEAR)]]</f>
        <v>0</v>
      </c>
    </row>
    <row r="84" spans="1:21" hidden="1" x14ac:dyDescent="0.25">
      <c r="A84" s="98" t="str">
        <f>IF(Table139159[[#This Row],[QUANTITY]]&gt;0, "YES", "NO")</f>
        <v>NO</v>
      </c>
      <c r="B84" s="27" t="s">
        <v>909</v>
      </c>
      <c r="C84" s="12" t="s">
        <v>64</v>
      </c>
      <c r="D84" s="12" t="s">
        <v>60</v>
      </c>
      <c r="E84" s="12" t="s">
        <v>53</v>
      </c>
      <c r="F84" s="12" t="s">
        <v>53</v>
      </c>
      <c r="G84" s="103" t="s">
        <v>15</v>
      </c>
      <c r="H84" s="103" t="s">
        <v>12</v>
      </c>
      <c r="I84" s="103">
        <v>0</v>
      </c>
      <c r="J84" s="103">
        <f>IFERROR(VLOOKUP(Table139159[[#This Row],[WORK ORDER]], '1. BUILDING ASSET INVENTORY'!A:K, 10, FALSE),0)</f>
        <v>0</v>
      </c>
      <c r="K84" s="102" t="str">
        <f>IFERROR(VLOOKUP(Table139159[[#This Row],[WORK ORDER]], '1. BUILDING ASSET INVENTORY'!A:L, 11, FALSE),"")</f>
        <v/>
      </c>
      <c r="L84" s="109"/>
      <c r="M84" s="197"/>
      <c r="N84" s="109">
        <f>Table139159[[#This Row],[OPERATOR HOURS (BASE)]]+Table139159[[#This Row],[QUANTITY]]*Table139159[[#This Row],[OPERATOR HOURS (PER UNIT)]]</f>
        <v>0</v>
      </c>
      <c r="O84" s="36">
        <f>'TABLE OF CONTENTS'!$K$34</f>
        <v>37.5</v>
      </c>
      <c r="P84" s="36">
        <f>Table139159[[#This Row],[TOTAL OPERATOR HOURS]]*Table139159[[#This Row],[OPERATOR RATE]]</f>
        <v>0</v>
      </c>
      <c r="Q84" s="14">
        <v>0</v>
      </c>
      <c r="R84" s="13">
        <v>0</v>
      </c>
      <c r="S84" s="13">
        <v>0</v>
      </c>
      <c r="T84" s="28"/>
      <c r="U84" s="37">
        <f>SUM(Table139159[[#This Row],[OPERATOR COST]:[UTILITIES]])*Table139159[[#This Row],[FREQUENCY   (TIMES PER YEAR)]]</f>
        <v>0</v>
      </c>
    </row>
    <row r="85" spans="1:21" hidden="1" x14ac:dyDescent="0.25">
      <c r="A85" s="98" t="str">
        <f>IF(Table139159[[#This Row],[QUANTITY]]&gt;0, "YES", "NO")</f>
        <v>NO</v>
      </c>
      <c r="B85" s="27" t="s">
        <v>910</v>
      </c>
      <c r="C85" s="12" t="s">
        <v>64</v>
      </c>
      <c r="D85" s="12" t="s">
        <v>60</v>
      </c>
      <c r="E85" s="12" t="s">
        <v>53</v>
      </c>
      <c r="F85" s="12" t="s">
        <v>53</v>
      </c>
      <c r="G85" s="103" t="s">
        <v>15</v>
      </c>
      <c r="H85" s="103" t="s">
        <v>12</v>
      </c>
      <c r="I85" s="103">
        <v>0</v>
      </c>
      <c r="J85" s="103">
        <f>IFERROR(VLOOKUP(Table139159[[#This Row],[WORK ORDER]], '1. BUILDING ASSET INVENTORY'!A:K, 10, FALSE),0)</f>
        <v>0</v>
      </c>
      <c r="K85" s="102" t="str">
        <f>IFERROR(VLOOKUP(Table139159[[#This Row],[WORK ORDER]], '1. BUILDING ASSET INVENTORY'!A:L, 11, FALSE),"")</f>
        <v/>
      </c>
      <c r="L85" s="109"/>
      <c r="M85" s="197"/>
      <c r="N85" s="109">
        <f>Table139159[[#This Row],[OPERATOR HOURS (BASE)]]+Table139159[[#This Row],[QUANTITY]]*Table139159[[#This Row],[OPERATOR HOURS (PER UNIT)]]</f>
        <v>0</v>
      </c>
      <c r="O85" s="36">
        <f>'TABLE OF CONTENTS'!$K$34</f>
        <v>37.5</v>
      </c>
      <c r="P85" s="36">
        <f>Table139159[[#This Row],[TOTAL OPERATOR HOURS]]*Table139159[[#This Row],[OPERATOR RATE]]</f>
        <v>0</v>
      </c>
      <c r="Q85" s="15">
        <v>0</v>
      </c>
      <c r="R85" s="13">
        <v>0</v>
      </c>
      <c r="S85" s="13">
        <v>0</v>
      </c>
      <c r="T85" s="28"/>
      <c r="U85" s="37">
        <f>SUM(Table139159[[#This Row],[OPERATOR COST]:[UTILITIES]])*Table139159[[#This Row],[FREQUENCY   (TIMES PER YEAR)]]</f>
        <v>0</v>
      </c>
    </row>
    <row r="86" spans="1:21" hidden="1" x14ac:dyDescent="0.25">
      <c r="A86" s="98" t="str">
        <f>IF(Table139159[[#This Row],[QUANTITY]]&gt;0, "YES", "NO")</f>
        <v>NO</v>
      </c>
      <c r="B86" s="27" t="s">
        <v>911</v>
      </c>
      <c r="C86" s="12" t="s">
        <v>64</v>
      </c>
      <c r="D86" s="12" t="s">
        <v>60</v>
      </c>
      <c r="E86" s="12" t="s">
        <v>53</v>
      </c>
      <c r="F86" s="12" t="s">
        <v>53</v>
      </c>
      <c r="G86" s="103" t="s">
        <v>15</v>
      </c>
      <c r="H86" s="103" t="s">
        <v>12</v>
      </c>
      <c r="I86" s="103">
        <v>0</v>
      </c>
      <c r="J86" s="103">
        <f>IFERROR(VLOOKUP(Table139159[[#This Row],[WORK ORDER]], '1. BUILDING ASSET INVENTORY'!A:K, 10, FALSE),0)</f>
        <v>0</v>
      </c>
      <c r="K86" s="102" t="str">
        <f>IFERROR(VLOOKUP(Table139159[[#This Row],[WORK ORDER]], '1. BUILDING ASSET INVENTORY'!A:L, 11, FALSE),"")</f>
        <v/>
      </c>
      <c r="L86" s="109"/>
      <c r="M86" s="197"/>
      <c r="N86" s="109">
        <f>Table139159[[#This Row],[OPERATOR HOURS (BASE)]]+Table139159[[#This Row],[QUANTITY]]*Table139159[[#This Row],[OPERATOR HOURS (PER UNIT)]]</f>
        <v>0</v>
      </c>
      <c r="O86" s="36">
        <f>'TABLE OF CONTENTS'!$K$34</f>
        <v>37.5</v>
      </c>
      <c r="P86" s="36">
        <f>Table139159[[#This Row],[TOTAL OPERATOR HOURS]]*Table139159[[#This Row],[OPERATOR RATE]]</f>
        <v>0</v>
      </c>
      <c r="Q86" s="15">
        <v>0</v>
      </c>
      <c r="R86" s="13">
        <v>0</v>
      </c>
      <c r="S86" s="13">
        <v>0</v>
      </c>
      <c r="T86" s="28"/>
      <c r="U86" s="37">
        <f>SUM(Table139159[[#This Row],[OPERATOR COST]:[UTILITIES]])*Table139159[[#This Row],[FREQUENCY   (TIMES PER YEAR)]]</f>
        <v>0</v>
      </c>
    </row>
    <row r="87" spans="1:21" hidden="1" x14ac:dyDescent="0.25">
      <c r="A87" s="98" t="str">
        <f>IF(Table139159[[#This Row],[QUANTITY]]&gt;0, "YES", "NO")</f>
        <v>NO</v>
      </c>
      <c r="B87" s="27" t="s">
        <v>912</v>
      </c>
      <c r="C87" s="12" t="s">
        <v>64</v>
      </c>
      <c r="D87" s="12" t="s">
        <v>60</v>
      </c>
      <c r="E87" s="12" t="s">
        <v>53</v>
      </c>
      <c r="F87" s="12" t="s">
        <v>53</v>
      </c>
      <c r="G87" s="103" t="s">
        <v>15</v>
      </c>
      <c r="H87" s="103" t="s">
        <v>12</v>
      </c>
      <c r="I87" s="103">
        <v>0</v>
      </c>
      <c r="J87" s="103">
        <f>IFERROR(VLOOKUP(Table139159[[#This Row],[WORK ORDER]], '1. BUILDING ASSET INVENTORY'!A:K, 10, FALSE),0)</f>
        <v>0</v>
      </c>
      <c r="K87" s="102" t="str">
        <f>IFERROR(VLOOKUP(Table139159[[#This Row],[WORK ORDER]], '1. BUILDING ASSET INVENTORY'!A:L, 11, FALSE),"")</f>
        <v/>
      </c>
      <c r="L87" s="109"/>
      <c r="M87" s="197"/>
      <c r="N87" s="109">
        <f>Table139159[[#This Row],[OPERATOR HOURS (BASE)]]+Table139159[[#This Row],[QUANTITY]]*Table139159[[#This Row],[OPERATOR HOURS (PER UNIT)]]</f>
        <v>0</v>
      </c>
      <c r="O87" s="36">
        <f>'TABLE OF CONTENTS'!$K$34</f>
        <v>37.5</v>
      </c>
      <c r="P87" s="36">
        <f>Table139159[[#This Row],[TOTAL OPERATOR HOURS]]*Table139159[[#This Row],[OPERATOR RATE]]</f>
        <v>0</v>
      </c>
      <c r="Q87" s="15">
        <v>0</v>
      </c>
      <c r="R87" s="13">
        <v>0</v>
      </c>
      <c r="S87" s="13">
        <v>0</v>
      </c>
      <c r="T87" s="28"/>
      <c r="U87" s="37">
        <f>SUM(Table139159[[#This Row],[OPERATOR COST]:[UTILITIES]])*Table139159[[#This Row],[FREQUENCY   (TIMES PER YEAR)]]</f>
        <v>0</v>
      </c>
    </row>
    <row r="88" spans="1:21" hidden="1" x14ac:dyDescent="0.25">
      <c r="A88" s="98" t="str">
        <f>IF(Table139159[[#This Row],[QUANTITY]]&gt;0, "YES", "NO")</f>
        <v>NO</v>
      </c>
      <c r="B88" s="27" t="s">
        <v>913</v>
      </c>
      <c r="C88" s="12" t="s">
        <v>64</v>
      </c>
      <c r="D88" s="12" t="s">
        <v>61</v>
      </c>
      <c r="E88" s="12" t="s">
        <v>53</v>
      </c>
      <c r="F88" s="12" t="s">
        <v>53</v>
      </c>
      <c r="G88" s="103" t="s">
        <v>15</v>
      </c>
      <c r="H88" s="103" t="s">
        <v>12</v>
      </c>
      <c r="I88" s="103">
        <v>0</v>
      </c>
      <c r="J88" s="103">
        <f>IFERROR(VLOOKUP(Table139159[[#This Row],[WORK ORDER]], '1. BUILDING ASSET INVENTORY'!A:K, 10, FALSE),0)</f>
        <v>0</v>
      </c>
      <c r="K88" s="102" t="str">
        <f>IFERROR(VLOOKUP(Table139159[[#This Row],[WORK ORDER]], '1. BUILDING ASSET INVENTORY'!A:L, 11, FALSE),"")</f>
        <v/>
      </c>
      <c r="L88" s="109"/>
      <c r="M88" s="197"/>
      <c r="N88" s="109">
        <f>Table139159[[#This Row],[OPERATOR HOURS (BASE)]]+Table139159[[#This Row],[QUANTITY]]*Table139159[[#This Row],[OPERATOR HOURS (PER UNIT)]]</f>
        <v>0</v>
      </c>
      <c r="O88" s="36">
        <f>'TABLE OF CONTENTS'!$K$34</f>
        <v>37.5</v>
      </c>
      <c r="P88" s="36">
        <f>Table139159[[#This Row],[TOTAL OPERATOR HOURS]]*Table139159[[#This Row],[OPERATOR RATE]]</f>
        <v>0</v>
      </c>
      <c r="Q88" s="15">
        <v>0</v>
      </c>
      <c r="R88" s="13">
        <v>0</v>
      </c>
      <c r="S88" s="13">
        <v>0</v>
      </c>
      <c r="T88" s="28"/>
      <c r="U88" s="37">
        <f>SUM(Table139159[[#This Row],[OPERATOR COST]:[UTILITIES]])*Table139159[[#This Row],[FREQUENCY   (TIMES PER YEAR)]]</f>
        <v>0</v>
      </c>
    </row>
    <row r="89" spans="1:21" hidden="1" x14ac:dyDescent="0.25">
      <c r="A89" s="98" t="str">
        <f>IF(Table139159[[#This Row],[QUANTITY]]&gt;0, "YES", "NO")</f>
        <v>NO</v>
      </c>
      <c r="B89" s="27" t="s">
        <v>992</v>
      </c>
      <c r="C89" s="12" t="s">
        <v>64</v>
      </c>
      <c r="D89" s="12" t="s">
        <v>61</v>
      </c>
      <c r="E89" s="12" t="s">
        <v>53</v>
      </c>
      <c r="F89" s="12" t="s">
        <v>53</v>
      </c>
      <c r="G89" s="103" t="s">
        <v>15</v>
      </c>
      <c r="H89" s="103" t="s">
        <v>12</v>
      </c>
      <c r="I89" s="103">
        <v>0</v>
      </c>
      <c r="J89" s="103">
        <f>IFERROR(VLOOKUP(Table139159[[#This Row],[WORK ORDER]], '1. BUILDING ASSET INVENTORY'!A:K, 10, FALSE),0)</f>
        <v>0</v>
      </c>
      <c r="K89" s="102" t="str">
        <f>IFERROR(VLOOKUP(Table139159[[#This Row],[WORK ORDER]], '1. BUILDING ASSET INVENTORY'!A:L, 11, FALSE),"")</f>
        <v/>
      </c>
      <c r="L89" s="109"/>
      <c r="M89" s="197"/>
      <c r="N89" s="109">
        <f>Table139159[[#This Row],[OPERATOR HOURS (BASE)]]+Table139159[[#This Row],[QUANTITY]]*Table139159[[#This Row],[OPERATOR HOURS (PER UNIT)]]</f>
        <v>0</v>
      </c>
      <c r="O89" s="36">
        <f>'TABLE OF CONTENTS'!$K$34</f>
        <v>37.5</v>
      </c>
      <c r="P89" s="36">
        <f>Table139159[[#This Row],[TOTAL OPERATOR HOURS]]*Table139159[[#This Row],[OPERATOR RATE]]</f>
        <v>0</v>
      </c>
      <c r="Q89" s="15">
        <v>0</v>
      </c>
      <c r="R89" s="13">
        <v>0</v>
      </c>
      <c r="S89" s="13">
        <v>0</v>
      </c>
      <c r="T89" s="28"/>
      <c r="U89" s="37">
        <f>SUM(Table139159[[#This Row],[OPERATOR COST]:[UTILITIES]])*Table139159[[#This Row],[FREQUENCY   (TIMES PER YEAR)]]</f>
        <v>0</v>
      </c>
    </row>
    <row r="90" spans="1:21" hidden="1" x14ac:dyDescent="0.25">
      <c r="A90" s="98" t="str">
        <f>IF(Table139159[[#This Row],[QUANTITY]]&gt;0, "YES", "NO")</f>
        <v>NO</v>
      </c>
      <c r="B90" s="27" t="s">
        <v>991</v>
      </c>
      <c r="C90" s="12" t="s">
        <v>64</v>
      </c>
      <c r="D90" s="12" t="s">
        <v>61</v>
      </c>
      <c r="E90" s="12" t="s">
        <v>53</v>
      </c>
      <c r="F90" s="12" t="s">
        <v>53</v>
      </c>
      <c r="G90" s="103" t="s">
        <v>15</v>
      </c>
      <c r="H90" s="103" t="s">
        <v>12</v>
      </c>
      <c r="I90" s="103">
        <v>0</v>
      </c>
      <c r="J90" s="103">
        <f>IFERROR(VLOOKUP(Table139159[[#This Row],[WORK ORDER]], '1. BUILDING ASSET INVENTORY'!A:K, 10, FALSE),0)</f>
        <v>0</v>
      </c>
      <c r="K90" s="102" t="str">
        <f>IFERROR(VLOOKUP(Table139159[[#This Row],[WORK ORDER]], '1. BUILDING ASSET INVENTORY'!A:L, 11, FALSE),"")</f>
        <v/>
      </c>
      <c r="L90" s="109"/>
      <c r="M90" s="197"/>
      <c r="N90" s="109">
        <f>Table139159[[#This Row],[OPERATOR HOURS (BASE)]]+Table139159[[#This Row],[QUANTITY]]*Table139159[[#This Row],[OPERATOR HOURS (PER UNIT)]]</f>
        <v>0</v>
      </c>
      <c r="O90" s="36">
        <f>'TABLE OF CONTENTS'!$K$34</f>
        <v>37.5</v>
      </c>
      <c r="P90" s="36">
        <f>Table139159[[#This Row],[TOTAL OPERATOR HOURS]]*Table139159[[#This Row],[OPERATOR RATE]]</f>
        <v>0</v>
      </c>
      <c r="Q90" s="15">
        <v>0</v>
      </c>
      <c r="R90" s="13">
        <v>0</v>
      </c>
      <c r="S90" s="13">
        <v>0</v>
      </c>
      <c r="T90" s="28"/>
      <c r="U90" s="37">
        <f>SUM(Table139159[[#This Row],[OPERATOR COST]:[UTILITIES]])*Table139159[[#This Row],[FREQUENCY   (TIMES PER YEAR)]]</f>
        <v>0</v>
      </c>
    </row>
    <row r="91" spans="1:21" hidden="1" x14ac:dyDescent="0.25">
      <c r="A91" s="98" t="str">
        <f>IF(Table139159[[#This Row],[QUANTITY]]&gt;0, "YES", "NO")</f>
        <v>NO</v>
      </c>
      <c r="B91" s="27" t="s">
        <v>990</v>
      </c>
      <c r="C91" s="12" t="s">
        <v>64</v>
      </c>
      <c r="D91" s="12" t="s">
        <v>61</v>
      </c>
      <c r="E91" s="12" t="s">
        <v>53</v>
      </c>
      <c r="F91" s="12" t="s">
        <v>53</v>
      </c>
      <c r="G91" s="103" t="s">
        <v>15</v>
      </c>
      <c r="H91" s="103" t="s">
        <v>12</v>
      </c>
      <c r="I91" s="103">
        <v>0</v>
      </c>
      <c r="J91" s="103">
        <f>IFERROR(VLOOKUP(Table139159[[#This Row],[WORK ORDER]], '1. BUILDING ASSET INVENTORY'!A:K, 10, FALSE),0)</f>
        <v>0</v>
      </c>
      <c r="K91" s="102" t="str">
        <f>IFERROR(VLOOKUP(Table139159[[#This Row],[WORK ORDER]], '1. BUILDING ASSET INVENTORY'!A:L, 11, FALSE),"")</f>
        <v/>
      </c>
      <c r="L91" s="109"/>
      <c r="M91" s="197"/>
      <c r="N91" s="109">
        <f>Table139159[[#This Row],[OPERATOR HOURS (BASE)]]+Table139159[[#This Row],[QUANTITY]]*Table139159[[#This Row],[OPERATOR HOURS (PER UNIT)]]</f>
        <v>0</v>
      </c>
      <c r="O91" s="36">
        <f>'TABLE OF CONTENTS'!$K$34</f>
        <v>37.5</v>
      </c>
      <c r="P91" s="36">
        <f>Table139159[[#This Row],[TOTAL OPERATOR HOURS]]*Table139159[[#This Row],[OPERATOR RATE]]</f>
        <v>0</v>
      </c>
      <c r="Q91" s="14">
        <v>0</v>
      </c>
      <c r="R91" s="13">
        <v>0</v>
      </c>
      <c r="S91" s="13">
        <v>0</v>
      </c>
      <c r="T91" s="28"/>
      <c r="U91" s="37">
        <f>SUM(Table139159[[#This Row],[OPERATOR COST]:[UTILITIES]])*Table139159[[#This Row],[FREQUENCY   (TIMES PER YEAR)]]</f>
        <v>0</v>
      </c>
    </row>
    <row r="92" spans="1:21" ht="30" x14ac:dyDescent="0.25">
      <c r="A92" s="98" t="str">
        <f>IF(Table139159[[#This Row],[QUANTITY]]&gt;0, "YES", "NO")</f>
        <v>NO</v>
      </c>
      <c r="B92" s="27" t="s">
        <v>828</v>
      </c>
      <c r="C92" s="12" t="s">
        <v>64</v>
      </c>
      <c r="D92" s="12" t="s">
        <v>62</v>
      </c>
      <c r="E92" s="12" t="s">
        <v>341</v>
      </c>
      <c r="F92" s="12" t="s">
        <v>370</v>
      </c>
      <c r="G92" s="106" t="s">
        <v>204</v>
      </c>
      <c r="H92" s="103" t="s">
        <v>8</v>
      </c>
      <c r="I92" s="103">
        <v>1</v>
      </c>
      <c r="J92" s="103">
        <f>IFERROR(VLOOKUP(Table139159[[#This Row],[WORK ORDER]], '1. BUILDING ASSET INVENTORY'!A:K, 10, FALSE),0)</f>
        <v>0</v>
      </c>
      <c r="K92" s="102" t="str">
        <f>IFERROR(VLOOKUP(Table139159[[#This Row],[WORK ORDER]], '1. BUILDING ASSET INVENTORY'!A:L, 11, FALSE),"")</f>
        <v>Each</v>
      </c>
      <c r="L92" s="109">
        <v>1</v>
      </c>
      <c r="M92" s="197">
        <v>0.4</v>
      </c>
      <c r="N92" s="109">
        <f>Table139159[[#This Row],[OPERATOR HOURS (BASE)]]+Table139159[[#This Row],[QUANTITY]]*Table139159[[#This Row],[OPERATOR HOURS (PER UNIT)]]</f>
        <v>1</v>
      </c>
      <c r="O92" s="36">
        <f>'TABLE OF CONTENTS'!$K$34</f>
        <v>37.5</v>
      </c>
      <c r="P92" s="36">
        <f>Table139159[[#This Row],[TOTAL OPERATOR HOURS]]*Table139159[[#This Row],[OPERATOR RATE]]</f>
        <v>37.5</v>
      </c>
      <c r="Q92" s="14">
        <v>0</v>
      </c>
      <c r="R92" s="13">
        <v>0</v>
      </c>
      <c r="S92" s="13">
        <v>0</v>
      </c>
      <c r="T92" s="28"/>
      <c r="U92" s="37">
        <f>SUM(Table139159[[#This Row],[OPERATOR COST]:[UTILITIES]])*Table139159[[#This Row],[FREQUENCY   (TIMES PER YEAR)]]</f>
        <v>37.5</v>
      </c>
    </row>
    <row r="93" spans="1:21" x14ac:dyDescent="0.25">
      <c r="A93" s="98" t="str">
        <f>IF(Table139159[[#This Row],[QUANTITY]]&gt;0, "YES", "NO")</f>
        <v>NO</v>
      </c>
      <c r="B93" s="27" t="s">
        <v>829</v>
      </c>
      <c r="C93" s="12" t="s">
        <v>64</v>
      </c>
      <c r="D93" s="12" t="s">
        <v>62</v>
      </c>
      <c r="E93" s="12" t="s">
        <v>341</v>
      </c>
      <c r="F93" s="12" t="s">
        <v>233</v>
      </c>
      <c r="G93" s="103" t="s">
        <v>204</v>
      </c>
      <c r="H93" s="103" t="s">
        <v>12</v>
      </c>
      <c r="I93" s="103">
        <v>2</v>
      </c>
      <c r="J93" s="103">
        <f>IFERROR(VLOOKUP(Table139159[[#This Row],[WORK ORDER]], '1. BUILDING ASSET INVENTORY'!A:K, 10, FALSE),0)</f>
        <v>0</v>
      </c>
      <c r="K93" s="102" t="str">
        <f>IFERROR(VLOOKUP(Table139159[[#This Row],[WORK ORDER]], '1. BUILDING ASSET INVENTORY'!A:L, 11, FALSE),"")</f>
        <v>Each</v>
      </c>
      <c r="L93" s="109">
        <v>1</v>
      </c>
      <c r="M93" s="197">
        <v>0.8</v>
      </c>
      <c r="N93" s="109">
        <f>Table139159[[#This Row],[OPERATOR HOURS (BASE)]]+Table139159[[#This Row],[QUANTITY]]*Table139159[[#This Row],[OPERATOR HOURS (PER UNIT)]]</f>
        <v>1</v>
      </c>
      <c r="O93" s="36">
        <f>'TABLE OF CONTENTS'!$K$34</f>
        <v>37.5</v>
      </c>
      <c r="P93" s="36">
        <f>Table139159[[#This Row],[TOTAL OPERATOR HOURS]]*Table139159[[#This Row],[OPERATOR RATE]]</f>
        <v>37.5</v>
      </c>
      <c r="Q93" s="14">
        <v>0</v>
      </c>
      <c r="R93" s="13">
        <v>0</v>
      </c>
      <c r="S93" s="13">
        <v>0</v>
      </c>
      <c r="T93" s="28"/>
      <c r="U93" s="37">
        <f>SUM(Table139159[[#This Row],[OPERATOR COST]:[UTILITIES]])*Table139159[[#This Row],[FREQUENCY   (TIMES PER YEAR)]]</f>
        <v>75</v>
      </c>
    </row>
    <row r="94" spans="1:21" hidden="1" x14ac:dyDescent="0.25">
      <c r="A94" s="98" t="str">
        <f>IF(Table139159[[#This Row],[QUANTITY]]&gt;0, "YES", "NO")</f>
        <v>NO</v>
      </c>
      <c r="B94" s="27" t="s">
        <v>868</v>
      </c>
      <c r="C94" s="12" t="s">
        <v>64</v>
      </c>
      <c r="D94" s="12" t="s">
        <v>62</v>
      </c>
      <c r="E94" s="12" t="s">
        <v>341</v>
      </c>
      <c r="F94" s="12" t="s">
        <v>379</v>
      </c>
      <c r="G94" s="103" t="s">
        <v>217</v>
      </c>
      <c r="H94" s="103" t="s">
        <v>12</v>
      </c>
      <c r="I94" s="103">
        <v>1</v>
      </c>
      <c r="J94" s="103">
        <f>IFERROR(VLOOKUP(Table139159[[#This Row],[WORK ORDER]], '1. BUILDING ASSET INVENTORY'!A:K, 10, FALSE),0)</f>
        <v>0</v>
      </c>
      <c r="K94" s="102" t="str">
        <f>IFERROR(VLOOKUP(Table139159[[#This Row],[WORK ORDER]], '1. BUILDING ASSET INVENTORY'!A:L, 11, FALSE),"")</f>
        <v>Each</v>
      </c>
      <c r="L94" s="109">
        <v>1</v>
      </c>
      <c r="M94" s="197">
        <v>8</v>
      </c>
      <c r="N94" s="109">
        <f>Table139159[[#This Row],[OPERATOR HOURS (BASE)]]+Table139159[[#This Row],[QUANTITY]]*Table139159[[#This Row],[OPERATOR HOURS (PER UNIT)]]</f>
        <v>1</v>
      </c>
      <c r="O94" s="36">
        <f>'TABLE OF CONTENTS'!$K$34</f>
        <v>37.5</v>
      </c>
      <c r="P94" s="36">
        <f>Table139159[[#This Row],[TOTAL OPERATOR HOURS]]*Table139159[[#This Row],[OPERATOR RATE]]</f>
        <v>37.5</v>
      </c>
      <c r="Q94" s="13">
        <f>PRODUCT(Table139159[[#This Row],[QUANTITY]],1000)</f>
        <v>0</v>
      </c>
      <c r="R94" s="13">
        <v>350</v>
      </c>
      <c r="S94" s="13">
        <v>10000</v>
      </c>
      <c r="T94" s="28"/>
      <c r="U94" s="37">
        <f>SUM(Table139159[[#This Row],[OPERATOR COST]:[UTILITIES]])*Table139159[[#This Row],[FREQUENCY   (TIMES PER YEAR)]]</f>
        <v>10387.5</v>
      </c>
    </row>
    <row r="95" spans="1:21" hidden="1" x14ac:dyDescent="0.25">
      <c r="A95" s="98" t="str">
        <f>IF(Table139159[[#This Row],[QUANTITY]]&gt;0, "YES", "NO")</f>
        <v>NO</v>
      </c>
      <c r="B95" s="27" t="s">
        <v>989</v>
      </c>
      <c r="C95" s="12" t="s">
        <v>64</v>
      </c>
      <c r="D95" s="12" t="s">
        <v>62</v>
      </c>
      <c r="E95" s="12" t="s">
        <v>53</v>
      </c>
      <c r="F95" s="12" t="s">
        <v>53</v>
      </c>
      <c r="G95" s="103" t="s">
        <v>15</v>
      </c>
      <c r="H95" s="103" t="s">
        <v>12</v>
      </c>
      <c r="I95" s="103">
        <v>0</v>
      </c>
      <c r="J95" s="103">
        <f>IFERROR(VLOOKUP(Table139159[[#This Row],[WORK ORDER]], '1. BUILDING ASSET INVENTORY'!A:K, 10, FALSE),0)</f>
        <v>0</v>
      </c>
      <c r="K95" s="102" t="str">
        <f>IFERROR(VLOOKUP(Table139159[[#This Row],[WORK ORDER]], '1. BUILDING ASSET INVENTORY'!A:L, 11, FALSE),"")</f>
        <v/>
      </c>
      <c r="L95" s="109"/>
      <c r="M95" s="197"/>
      <c r="N95" s="109">
        <f>Table139159[[#This Row],[OPERATOR HOURS (BASE)]]+Table139159[[#This Row],[QUANTITY]]*Table139159[[#This Row],[OPERATOR HOURS (PER UNIT)]]</f>
        <v>0</v>
      </c>
      <c r="O95" s="36">
        <f>'TABLE OF CONTENTS'!$K$34</f>
        <v>37.5</v>
      </c>
      <c r="P95" s="36">
        <f>Table139159[[#This Row],[TOTAL OPERATOR HOURS]]*Table139159[[#This Row],[OPERATOR RATE]]</f>
        <v>0</v>
      </c>
      <c r="Q95" s="14">
        <v>0</v>
      </c>
      <c r="R95" s="13">
        <v>0</v>
      </c>
      <c r="S95" s="13">
        <v>0</v>
      </c>
      <c r="T95" s="28"/>
      <c r="U95" s="37">
        <f>SUM(Table139159[[#This Row],[OPERATOR COST]:[UTILITIES]])*Table139159[[#This Row],[FREQUENCY   (TIMES PER YEAR)]]</f>
        <v>0</v>
      </c>
    </row>
    <row r="96" spans="1:21" hidden="1" x14ac:dyDescent="0.25">
      <c r="A96" s="98" t="str">
        <f>IF(Table139159[[#This Row],[QUANTITY]]&gt;0, "YES", "NO")</f>
        <v>NO</v>
      </c>
      <c r="B96" s="27" t="s">
        <v>988</v>
      </c>
      <c r="C96" s="12" t="s">
        <v>64</v>
      </c>
      <c r="D96" s="12" t="s">
        <v>62</v>
      </c>
      <c r="E96" s="12" t="s">
        <v>53</v>
      </c>
      <c r="F96" s="12" t="s">
        <v>53</v>
      </c>
      <c r="G96" s="103" t="s">
        <v>15</v>
      </c>
      <c r="H96" s="103" t="s">
        <v>12</v>
      </c>
      <c r="I96" s="103">
        <v>0</v>
      </c>
      <c r="J96" s="103">
        <f>IFERROR(VLOOKUP(Table139159[[#This Row],[WORK ORDER]], '1. BUILDING ASSET INVENTORY'!A:K, 10, FALSE),0)</f>
        <v>0</v>
      </c>
      <c r="K96" s="102" t="str">
        <f>IFERROR(VLOOKUP(Table139159[[#This Row],[WORK ORDER]], '1. BUILDING ASSET INVENTORY'!A:L, 11, FALSE),"")</f>
        <v/>
      </c>
      <c r="L96" s="109"/>
      <c r="M96" s="197"/>
      <c r="N96" s="109">
        <f>Table139159[[#This Row],[OPERATOR HOURS (BASE)]]+Table139159[[#This Row],[QUANTITY]]*Table139159[[#This Row],[OPERATOR HOURS (PER UNIT)]]</f>
        <v>0</v>
      </c>
      <c r="O96" s="36">
        <f>'TABLE OF CONTENTS'!$K$34</f>
        <v>37.5</v>
      </c>
      <c r="P96" s="36">
        <f>Table139159[[#This Row],[TOTAL OPERATOR HOURS]]*Table139159[[#This Row],[OPERATOR RATE]]</f>
        <v>0</v>
      </c>
      <c r="Q96" s="14">
        <v>0</v>
      </c>
      <c r="R96" s="13">
        <v>0</v>
      </c>
      <c r="S96" s="13">
        <v>0</v>
      </c>
      <c r="T96" s="28"/>
      <c r="U96" s="37">
        <f>SUM(Table139159[[#This Row],[OPERATOR COST]:[UTILITIES]])*Table139159[[#This Row],[FREQUENCY   (TIMES PER YEAR)]]</f>
        <v>0</v>
      </c>
    </row>
    <row r="97" spans="1:21" hidden="1" x14ac:dyDescent="0.25">
      <c r="A97" s="98" t="str">
        <f>IF(Table139159[[#This Row],[QUANTITY]]&gt;0, "YES", "NO")</f>
        <v>NO</v>
      </c>
      <c r="B97" s="27" t="s">
        <v>987</v>
      </c>
      <c r="C97" s="12" t="s">
        <v>64</v>
      </c>
      <c r="D97" s="12" t="s">
        <v>62</v>
      </c>
      <c r="E97" s="12" t="s">
        <v>53</v>
      </c>
      <c r="F97" s="12" t="s">
        <v>53</v>
      </c>
      <c r="G97" s="103" t="s">
        <v>15</v>
      </c>
      <c r="H97" s="103" t="s">
        <v>12</v>
      </c>
      <c r="I97" s="103">
        <v>0</v>
      </c>
      <c r="J97" s="103">
        <f>IFERROR(VLOOKUP(Table139159[[#This Row],[WORK ORDER]], '1. BUILDING ASSET INVENTORY'!A:K, 10, FALSE),0)</f>
        <v>0</v>
      </c>
      <c r="K97" s="102" t="str">
        <f>IFERROR(VLOOKUP(Table139159[[#This Row],[WORK ORDER]], '1. BUILDING ASSET INVENTORY'!A:L, 11, FALSE),"")</f>
        <v/>
      </c>
      <c r="L97" s="109"/>
      <c r="M97" s="197"/>
      <c r="N97" s="109">
        <f>Table139159[[#This Row],[OPERATOR HOURS (BASE)]]+Table139159[[#This Row],[QUANTITY]]*Table139159[[#This Row],[OPERATOR HOURS (PER UNIT)]]</f>
        <v>0</v>
      </c>
      <c r="O97" s="36">
        <f>'TABLE OF CONTENTS'!$K$34</f>
        <v>37.5</v>
      </c>
      <c r="P97" s="36">
        <f>Table139159[[#This Row],[TOTAL OPERATOR HOURS]]*Table139159[[#This Row],[OPERATOR RATE]]</f>
        <v>0</v>
      </c>
      <c r="Q97" s="14">
        <v>0</v>
      </c>
      <c r="R97" s="13">
        <v>0</v>
      </c>
      <c r="S97" s="13">
        <v>0</v>
      </c>
      <c r="T97" s="28"/>
      <c r="U97" s="37">
        <f>SUM(Table139159[[#This Row],[OPERATOR COST]:[UTILITIES]])*Table139159[[#This Row],[FREQUENCY   (TIMES PER YEAR)]]</f>
        <v>0</v>
      </c>
    </row>
    <row r="98" spans="1:21" ht="30" hidden="1" x14ac:dyDescent="0.25">
      <c r="A98" s="98" t="str">
        <f>IF(Table139159[[#This Row],[QUANTITY]]&gt;0, "YES", "NO")</f>
        <v>NO</v>
      </c>
      <c r="B98" s="27" t="s">
        <v>869</v>
      </c>
      <c r="C98" s="12" t="s">
        <v>64</v>
      </c>
      <c r="D98" s="12" t="s">
        <v>63</v>
      </c>
      <c r="E98" s="12" t="s">
        <v>19</v>
      </c>
      <c r="F98" s="12" t="s">
        <v>234</v>
      </c>
      <c r="G98" s="103" t="s">
        <v>217</v>
      </c>
      <c r="H98" s="103" t="s">
        <v>35</v>
      </c>
      <c r="I98" s="103">
        <f>1/5</f>
        <v>0.2</v>
      </c>
      <c r="J98" s="103">
        <f>IFERROR(VLOOKUP(Table139159[[#This Row],[WORK ORDER]], '1. BUILDING ASSET INVENTORY'!A:K, 10, FALSE),0)</f>
        <v>0</v>
      </c>
      <c r="K98" s="102" t="str">
        <f>IFERROR(VLOOKUP(Table139159[[#This Row],[WORK ORDER]], '1. BUILDING ASSET INVENTORY'!A:L, 11, FALSE),"")</f>
        <v>Each</v>
      </c>
      <c r="L98" s="109">
        <v>1</v>
      </c>
      <c r="M98" s="197">
        <v>6</v>
      </c>
      <c r="N98" s="109">
        <f>Table139159[[#This Row],[OPERATOR HOURS (BASE)]]+Table139159[[#This Row],[QUANTITY]]*Table139159[[#This Row],[OPERATOR HOURS (PER UNIT)]]</f>
        <v>1</v>
      </c>
      <c r="O98" s="36">
        <f>'TABLE OF CONTENTS'!$K$34</f>
        <v>37.5</v>
      </c>
      <c r="P98" s="36">
        <f>Table139159[[#This Row],[TOTAL OPERATOR HOURS]]*Table139159[[#This Row],[OPERATOR RATE]]</f>
        <v>37.5</v>
      </c>
      <c r="Q98" s="14">
        <v>2500</v>
      </c>
      <c r="R98" s="13">
        <v>0</v>
      </c>
      <c r="S98" s="13">
        <v>0</v>
      </c>
      <c r="T98" s="28"/>
      <c r="U98" s="37">
        <f>SUM(Table139159[[#This Row],[OPERATOR COST]:[UTILITIES]])*Table139159[[#This Row],[FREQUENCY   (TIMES PER YEAR)]]</f>
        <v>507.5</v>
      </c>
    </row>
    <row r="99" spans="1:21" hidden="1" x14ac:dyDescent="0.25">
      <c r="A99" s="98" t="str">
        <f>IF(Table139159[[#This Row],[QUANTITY]]&gt;0, "YES", "NO")</f>
        <v>NO</v>
      </c>
      <c r="B99" s="27" t="s">
        <v>986</v>
      </c>
      <c r="C99" s="12" t="s">
        <v>64</v>
      </c>
      <c r="D99" s="12" t="s">
        <v>63</v>
      </c>
      <c r="E99" s="12" t="s">
        <v>53</v>
      </c>
      <c r="F99" s="12" t="s">
        <v>53</v>
      </c>
      <c r="G99" s="103" t="s">
        <v>15</v>
      </c>
      <c r="H99" s="103" t="s">
        <v>12</v>
      </c>
      <c r="I99" s="103">
        <v>0</v>
      </c>
      <c r="J99" s="103">
        <f>IFERROR(VLOOKUP(Table139159[[#This Row],[WORK ORDER]], '1. BUILDING ASSET INVENTORY'!A:K, 10, FALSE),0)</f>
        <v>0</v>
      </c>
      <c r="K99" s="102" t="str">
        <f>IFERROR(VLOOKUP(Table139159[[#This Row],[WORK ORDER]], '1. BUILDING ASSET INVENTORY'!A:L, 11, FALSE),"")</f>
        <v/>
      </c>
      <c r="L99" s="109"/>
      <c r="M99" s="197"/>
      <c r="N99" s="109">
        <f>Table139159[[#This Row],[OPERATOR HOURS (BASE)]]+Table139159[[#This Row],[QUANTITY]]*Table139159[[#This Row],[OPERATOR HOURS (PER UNIT)]]</f>
        <v>0</v>
      </c>
      <c r="O99" s="36">
        <f>'TABLE OF CONTENTS'!$K$34</f>
        <v>37.5</v>
      </c>
      <c r="P99" s="36">
        <f>Table139159[[#This Row],[TOTAL OPERATOR HOURS]]*Table139159[[#This Row],[OPERATOR RATE]]</f>
        <v>0</v>
      </c>
      <c r="Q99" s="15">
        <v>0</v>
      </c>
      <c r="R99" s="13">
        <v>0</v>
      </c>
      <c r="S99" s="13">
        <v>0</v>
      </c>
      <c r="T99" s="28"/>
      <c r="U99" s="37">
        <f>SUM(Table139159[[#This Row],[OPERATOR COST]:[UTILITIES]])*Table139159[[#This Row],[FREQUENCY   (TIMES PER YEAR)]]</f>
        <v>0</v>
      </c>
    </row>
    <row r="100" spans="1:21" hidden="1" x14ac:dyDescent="0.25">
      <c r="A100" s="98" t="str">
        <f>IF(Table139159[[#This Row],[QUANTITY]]&gt;0, "YES", "NO")</f>
        <v>NO</v>
      </c>
      <c r="B100" s="27" t="s">
        <v>985</v>
      </c>
      <c r="C100" s="12" t="s">
        <v>64</v>
      </c>
      <c r="D100" s="12" t="s">
        <v>63</v>
      </c>
      <c r="E100" s="12" t="s">
        <v>53</v>
      </c>
      <c r="F100" s="12" t="s">
        <v>53</v>
      </c>
      <c r="G100" s="103" t="s">
        <v>15</v>
      </c>
      <c r="H100" s="103" t="s">
        <v>12</v>
      </c>
      <c r="I100" s="103">
        <v>0</v>
      </c>
      <c r="J100" s="103">
        <f>IFERROR(VLOOKUP(Table139159[[#This Row],[WORK ORDER]], '1. BUILDING ASSET INVENTORY'!A:K, 10, FALSE),0)</f>
        <v>0</v>
      </c>
      <c r="K100" s="102" t="str">
        <f>IFERROR(VLOOKUP(Table139159[[#This Row],[WORK ORDER]], '1. BUILDING ASSET INVENTORY'!A:L, 11, FALSE),"")</f>
        <v/>
      </c>
      <c r="L100" s="109"/>
      <c r="M100" s="197"/>
      <c r="N100" s="109">
        <f>Table139159[[#This Row],[OPERATOR HOURS (BASE)]]+Table139159[[#This Row],[QUANTITY]]*Table139159[[#This Row],[OPERATOR HOURS (PER UNIT)]]</f>
        <v>0</v>
      </c>
      <c r="O100" s="36">
        <f>'TABLE OF CONTENTS'!$K$34</f>
        <v>37.5</v>
      </c>
      <c r="P100" s="36">
        <f>Table139159[[#This Row],[TOTAL OPERATOR HOURS]]*Table139159[[#This Row],[OPERATOR RATE]]</f>
        <v>0</v>
      </c>
      <c r="Q100" s="14">
        <v>0</v>
      </c>
      <c r="R100" s="13">
        <v>0</v>
      </c>
      <c r="S100" s="13">
        <v>0</v>
      </c>
      <c r="T100" s="28"/>
      <c r="U100" s="37">
        <f>SUM(Table139159[[#This Row],[OPERATOR COST]:[UTILITIES]])*Table139159[[#This Row],[FREQUENCY   (TIMES PER YEAR)]]</f>
        <v>0</v>
      </c>
    </row>
    <row r="101" spans="1:21" hidden="1" x14ac:dyDescent="0.25">
      <c r="A101" s="98" t="str">
        <f>IF(Table139159[[#This Row],[QUANTITY]]&gt;0, "YES", "NO")</f>
        <v>NO</v>
      </c>
      <c r="B101" s="27" t="s">
        <v>984</v>
      </c>
      <c r="C101" s="12" t="s">
        <v>64</v>
      </c>
      <c r="D101" s="12" t="s">
        <v>63</v>
      </c>
      <c r="E101" s="12" t="s">
        <v>53</v>
      </c>
      <c r="F101" s="12" t="s">
        <v>53</v>
      </c>
      <c r="G101" s="103" t="s">
        <v>15</v>
      </c>
      <c r="H101" s="103" t="s">
        <v>12</v>
      </c>
      <c r="I101" s="103">
        <v>0</v>
      </c>
      <c r="J101" s="103">
        <f>IFERROR(VLOOKUP(Table139159[[#This Row],[WORK ORDER]], '1. BUILDING ASSET INVENTORY'!A:K, 10, FALSE),0)</f>
        <v>0</v>
      </c>
      <c r="K101" s="102" t="str">
        <f>IFERROR(VLOOKUP(Table139159[[#This Row],[WORK ORDER]], '1. BUILDING ASSET INVENTORY'!A:L, 11, FALSE),"")</f>
        <v/>
      </c>
      <c r="L101" s="109"/>
      <c r="M101" s="197"/>
      <c r="N101" s="109">
        <f>Table139159[[#This Row],[OPERATOR HOURS (BASE)]]+Table139159[[#This Row],[QUANTITY]]*Table139159[[#This Row],[OPERATOR HOURS (PER UNIT)]]</f>
        <v>0</v>
      </c>
      <c r="O101" s="36">
        <f>'TABLE OF CONTENTS'!$K$34</f>
        <v>37.5</v>
      </c>
      <c r="P101" s="36">
        <f>Table139159[[#This Row],[TOTAL OPERATOR HOURS]]*Table139159[[#This Row],[OPERATOR RATE]]</f>
        <v>0</v>
      </c>
      <c r="Q101" s="15">
        <v>0</v>
      </c>
      <c r="R101" s="13">
        <v>0</v>
      </c>
      <c r="S101" s="13">
        <v>0</v>
      </c>
      <c r="T101" s="28"/>
      <c r="U101" s="37">
        <f>SUM(Table139159[[#This Row],[OPERATOR COST]:[UTILITIES]])*Table139159[[#This Row],[FREQUENCY   (TIMES PER YEAR)]]</f>
        <v>0</v>
      </c>
    </row>
    <row r="102" spans="1:21" hidden="1" x14ac:dyDescent="0.25">
      <c r="A102" s="98" t="str">
        <f>IF(Table139159[[#This Row],[QUANTITY]]&gt;0, "YES", "NO")</f>
        <v>NO</v>
      </c>
      <c r="B102" s="27" t="s">
        <v>711</v>
      </c>
      <c r="C102" s="12" t="s">
        <v>65</v>
      </c>
      <c r="D102" s="12" t="s">
        <v>66</v>
      </c>
      <c r="E102" s="12" t="s">
        <v>21</v>
      </c>
      <c r="F102" s="12" t="s">
        <v>235</v>
      </c>
      <c r="G102" s="103" t="s">
        <v>217</v>
      </c>
      <c r="H102" s="103" t="s">
        <v>114</v>
      </c>
      <c r="I102" s="103">
        <f>1/25</f>
        <v>0.04</v>
      </c>
      <c r="J102" s="103">
        <f>IFERROR(VLOOKUP(Table139159[[#This Row],[WORK ORDER]], '1. BUILDING ASSET INVENTORY'!A:K, 10, FALSE),0)</f>
        <v>0</v>
      </c>
      <c r="K102" s="102" t="str">
        <f>IFERROR(VLOOKUP(Table139159[[#This Row],[WORK ORDER]], '1. BUILDING ASSET INVENTORY'!A:L, 11, FALSE),"")</f>
        <v xml:space="preserve">m² </v>
      </c>
      <c r="L102" s="109">
        <v>1</v>
      </c>
      <c r="M102" s="197">
        <v>8.0000000000000002E-3</v>
      </c>
      <c r="N102" s="109">
        <f>Table139159[[#This Row],[OPERATOR HOURS (BASE)]]+Table139159[[#This Row],[QUANTITY]]*Table139159[[#This Row],[OPERATOR HOURS (PER UNIT)]]</f>
        <v>1</v>
      </c>
      <c r="O102" s="36">
        <f>'TABLE OF CONTENTS'!$K$34</f>
        <v>37.5</v>
      </c>
      <c r="P102" s="36">
        <f>Table139159[[#This Row],[TOTAL OPERATOR HOURS]]*Table139159[[#This Row],[OPERATOR RATE]]</f>
        <v>37.5</v>
      </c>
      <c r="Q102" s="13">
        <f>PRODUCT(Table139159[[#This Row],[QUANTITY]],30)</f>
        <v>0</v>
      </c>
      <c r="R102" s="13">
        <v>0</v>
      </c>
      <c r="S102" s="13">
        <v>0</v>
      </c>
      <c r="T102" s="28"/>
      <c r="U102" s="37">
        <f>SUM(Table139159[[#This Row],[OPERATOR COST]:[UTILITIES]])*Table139159[[#This Row],[FREQUENCY   (TIMES PER YEAR)]]</f>
        <v>1.5</v>
      </c>
    </row>
    <row r="103" spans="1:21" hidden="1" x14ac:dyDescent="0.25">
      <c r="A103" s="98" t="str">
        <f>IF(Table139159[[#This Row],[QUANTITY]]&gt;0, "YES", "NO")</f>
        <v>NO</v>
      </c>
      <c r="B103" s="27" t="s">
        <v>712</v>
      </c>
      <c r="C103" s="17" t="s">
        <v>65</v>
      </c>
      <c r="D103" s="17" t="s">
        <v>66</v>
      </c>
      <c r="E103" s="17" t="s">
        <v>53</v>
      </c>
      <c r="F103" s="17" t="s">
        <v>53</v>
      </c>
      <c r="G103" s="107" t="s">
        <v>15</v>
      </c>
      <c r="H103" s="107" t="s">
        <v>12</v>
      </c>
      <c r="I103" s="107">
        <v>0</v>
      </c>
      <c r="J103" s="107">
        <f>IFERROR(VLOOKUP(Table139159[[#This Row],[WORK ORDER]], '1. BUILDING ASSET INVENTORY'!A:K, 10, FALSE),0)</f>
        <v>0</v>
      </c>
      <c r="K103" s="102" t="str">
        <f>IFERROR(VLOOKUP(Table139159[[#This Row],[WORK ORDER]], '1. BUILDING ASSET INVENTORY'!A:L, 11, FALSE),"")</f>
        <v/>
      </c>
      <c r="L103" s="111"/>
      <c r="M103" s="199"/>
      <c r="N103" s="111">
        <f>Table139159[[#This Row],[OPERATOR HOURS (BASE)]]+Table139159[[#This Row],[QUANTITY]]*Table139159[[#This Row],[OPERATOR HOURS (PER UNIT)]]</f>
        <v>0</v>
      </c>
      <c r="O103" s="36">
        <f>'TABLE OF CONTENTS'!$K$34</f>
        <v>37.5</v>
      </c>
      <c r="P103" s="36">
        <f>Table139159[[#This Row],[TOTAL OPERATOR HOURS]]*Table139159[[#This Row],[OPERATOR RATE]]</f>
        <v>0</v>
      </c>
      <c r="Q103" s="18">
        <v>0</v>
      </c>
      <c r="R103" s="19">
        <v>0</v>
      </c>
      <c r="S103" s="19">
        <v>0</v>
      </c>
      <c r="T103" s="31"/>
      <c r="U103" s="37">
        <f>SUM(Table139159[[#This Row],[OPERATOR COST]:[UTILITIES]])*Table139159[[#This Row],[FREQUENCY   (TIMES PER YEAR)]]</f>
        <v>0</v>
      </c>
    </row>
    <row r="104" spans="1:21" hidden="1" x14ac:dyDescent="0.25">
      <c r="A104" s="98" t="str">
        <f>IF(Table139159[[#This Row],[QUANTITY]]&gt;0, "YES", "NO")</f>
        <v>NO</v>
      </c>
      <c r="B104" s="27" t="s">
        <v>713</v>
      </c>
      <c r="C104" s="12" t="s">
        <v>65</v>
      </c>
      <c r="D104" s="12" t="s">
        <v>66</v>
      </c>
      <c r="E104" s="12" t="s">
        <v>53</v>
      </c>
      <c r="F104" s="12" t="s">
        <v>53</v>
      </c>
      <c r="G104" s="103" t="s">
        <v>15</v>
      </c>
      <c r="H104" s="103" t="s">
        <v>12</v>
      </c>
      <c r="I104" s="103">
        <v>0</v>
      </c>
      <c r="J104" s="103">
        <f>IFERROR(VLOOKUP(Table139159[[#This Row],[WORK ORDER]], '1. BUILDING ASSET INVENTORY'!A:K, 10, FALSE),0)</f>
        <v>0</v>
      </c>
      <c r="K104" s="102" t="str">
        <f>IFERROR(VLOOKUP(Table139159[[#This Row],[WORK ORDER]], '1. BUILDING ASSET INVENTORY'!A:L, 11, FALSE),"")</f>
        <v/>
      </c>
      <c r="L104" s="109"/>
      <c r="M104" s="197"/>
      <c r="N104" s="109">
        <f>Table139159[[#This Row],[OPERATOR HOURS (BASE)]]+Table139159[[#This Row],[QUANTITY]]*Table139159[[#This Row],[OPERATOR HOURS (PER UNIT)]]</f>
        <v>0</v>
      </c>
      <c r="O104" s="36">
        <f>'TABLE OF CONTENTS'!$K$34</f>
        <v>37.5</v>
      </c>
      <c r="P104" s="36">
        <f>Table139159[[#This Row],[TOTAL OPERATOR HOURS]]*Table139159[[#This Row],[OPERATOR RATE]]</f>
        <v>0</v>
      </c>
      <c r="Q104" s="14">
        <v>0</v>
      </c>
      <c r="R104" s="13">
        <v>0</v>
      </c>
      <c r="S104" s="13">
        <v>0</v>
      </c>
      <c r="T104" s="28"/>
      <c r="U104" s="37">
        <f>SUM(Table139159[[#This Row],[OPERATOR COST]:[UTILITIES]])*Table139159[[#This Row],[FREQUENCY   (TIMES PER YEAR)]]</f>
        <v>0</v>
      </c>
    </row>
    <row r="105" spans="1:21" hidden="1" x14ac:dyDescent="0.25">
      <c r="A105" s="98" t="str">
        <f>IF(Table139159[[#This Row],[QUANTITY]]&gt;0, "YES", "NO")</f>
        <v>NO</v>
      </c>
      <c r="B105" s="27" t="s">
        <v>714</v>
      </c>
      <c r="C105" s="20" t="s">
        <v>65</v>
      </c>
      <c r="D105" s="20" t="s">
        <v>66</v>
      </c>
      <c r="E105" s="20" t="s">
        <v>53</v>
      </c>
      <c r="F105" s="20" t="s">
        <v>53</v>
      </c>
      <c r="G105" s="105" t="s">
        <v>15</v>
      </c>
      <c r="H105" s="105" t="s">
        <v>12</v>
      </c>
      <c r="I105" s="105">
        <v>0</v>
      </c>
      <c r="J105" s="105">
        <f>IFERROR(VLOOKUP(Table139159[[#This Row],[WORK ORDER]], '1. BUILDING ASSET INVENTORY'!A:K, 10, FALSE),0)</f>
        <v>0</v>
      </c>
      <c r="K105" s="102" t="str">
        <f>IFERROR(VLOOKUP(Table139159[[#This Row],[WORK ORDER]], '1. BUILDING ASSET INVENTORY'!A:L, 11, FALSE),"")</f>
        <v/>
      </c>
      <c r="L105" s="109"/>
      <c r="M105" s="198"/>
      <c r="N105" s="110">
        <f>Table139159[[#This Row],[OPERATOR HOURS (BASE)]]+Table139159[[#This Row],[QUANTITY]]*Table139159[[#This Row],[OPERATOR HOURS (PER UNIT)]]</f>
        <v>0</v>
      </c>
      <c r="O105" s="36">
        <f>'TABLE OF CONTENTS'!$K$34</f>
        <v>37.5</v>
      </c>
      <c r="P105" s="36">
        <f>Table139159[[#This Row],[TOTAL OPERATOR HOURS]]*Table139159[[#This Row],[OPERATOR RATE]]</f>
        <v>0</v>
      </c>
      <c r="Q105" s="21">
        <v>0</v>
      </c>
      <c r="R105" s="22">
        <v>0</v>
      </c>
      <c r="S105" s="22">
        <v>0</v>
      </c>
      <c r="T105" s="32"/>
      <c r="U105" s="37">
        <f>SUM(Table139159[[#This Row],[OPERATOR COST]:[UTILITIES]])*Table139159[[#This Row],[FREQUENCY   (TIMES PER YEAR)]]</f>
        <v>0</v>
      </c>
    </row>
    <row r="106" spans="1:21" hidden="1" x14ac:dyDescent="0.25">
      <c r="A106" s="98" t="str">
        <f>IF(Table139159[[#This Row],[QUANTITY]]&gt;0, "YES", "NO")</f>
        <v>NO</v>
      </c>
      <c r="B106" s="27" t="s">
        <v>715</v>
      </c>
      <c r="C106" s="12" t="s">
        <v>65</v>
      </c>
      <c r="D106" s="12" t="s">
        <v>66</v>
      </c>
      <c r="E106" s="12" t="s">
        <v>53</v>
      </c>
      <c r="F106" s="12" t="s">
        <v>53</v>
      </c>
      <c r="G106" s="103" t="s">
        <v>15</v>
      </c>
      <c r="H106" s="103" t="s">
        <v>12</v>
      </c>
      <c r="I106" s="103">
        <v>0</v>
      </c>
      <c r="J106" s="103">
        <f>IFERROR(VLOOKUP(Table139159[[#This Row],[WORK ORDER]], '1. BUILDING ASSET INVENTORY'!A:K, 10, FALSE),0)</f>
        <v>0</v>
      </c>
      <c r="K106" s="102" t="str">
        <f>IFERROR(VLOOKUP(Table139159[[#This Row],[WORK ORDER]], '1. BUILDING ASSET INVENTORY'!A:L, 11, FALSE),"")</f>
        <v/>
      </c>
      <c r="L106" s="111"/>
      <c r="M106" s="199"/>
      <c r="N106" s="111">
        <f>Table139159[[#This Row],[OPERATOR HOURS (BASE)]]+Table139159[[#This Row],[QUANTITY]]*Table139159[[#This Row],[OPERATOR HOURS (PER UNIT)]]</f>
        <v>0</v>
      </c>
      <c r="O106" s="36">
        <f>'TABLE OF CONTENTS'!$K$34</f>
        <v>37.5</v>
      </c>
      <c r="P106" s="36">
        <f>Table139159[[#This Row],[TOTAL OPERATOR HOURS]]*Table139159[[#This Row],[OPERATOR RATE]]</f>
        <v>0</v>
      </c>
      <c r="Q106" s="14">
        <v>0</v>
      </c>
      <c r="R106" s="13">
        <v>0</v>
      </c>
      <c r="S106" s="13">
        <v>0</v>
      </c>
      <c r="T106" s="28"/>
      <c r="U106" s="37">
        <f>SUM(Table139159[[#This Row],[OPERATOR COST]:[UTILITIES]])*Table139159[[#This Row],[FREQUENCY   (TIMES PER YEAR)]]</f>
        <v>0</v>
      </c>
    </row>
    <row r="107" spans="1:21" hidden="1" x14ac:dyDescent="0.25">
      <c r="A107" s="98" t="str">
        <f>IF(Table139159[[#This Row],[QUANTITY]]&gt;0, "YES", "NO")</f>
        <v>NO</v>
      </c>
      <c r="B107" s="27" t="s">
        <v>716</v>
      </c>
      <c r="C107" s="12" t="s">
        <v>65</v>
      </c>
      <c r="D107" s="12" t="s">
        <v>66</v>
      </c>
      <c r="E107" s="12" t="s">
        <v>113</v>
      </c>
      <c r="F107" s="12" t="s">
        <v>239</v>
      </c>
      <c r="G107" s="103" t="s">
        <v>217</v>
      </c>
      <c r="H107" s="103" t="s">
        <v>202</v>
      </c>
      <c r="I107" s="103">
        <f>1/40</f>
        <v>2.5000000000000001E-2</v>
      </c>
      <c r="J107" s="103">
        <f>IFERROR(VLOOKUP(Table139159[[#This Row],[WORK ORDER]], '1. BUILDING ASSET INVENTORY'!A:K, 10, FALSE),0)</f>
        <v>0</v>
      </c>
      <c r="K107" s="102" t="str">
        <f>IFERROR(VLOOKUP(Table139159[[#This Row],[WORK ORDER]], '1. BUILDING ASSET INVENTORY'!A:L, 11, FALSE),"")</f>
        <v xml:space="preserve">m² </v>
      </c>
      <c r="L107" s="109">
        <v>1</v>
      </c>
      <c r="M107" s="197">
        <v>8.0000000000000002E-3</v>
      </c>
      <c r="N107" s="111">
        <f>Table139159[[#This Row],[OPERATOR HOURS (BASE)]]+Table139159[[#This Row],[QUANTITY]]*Table139159[[#This Row],[OPERATOR HOURS (PER UNIT)]]</f>
        <v>1</v>
      </c>
      <c r="O107" s="36">
        <f>'TABLE OF CONTENTS'!$K$34</f>
        <v>37.5</v>
      </c>
      <c r="P107" s="36">
        <f>Table139159[[#This Row],[TOTAL OPERATOR HOURS]]*Table139159[[#This Row],[OPERATOR RATE]]</f>
        <v>37.5</v>
      </c>
      <c r="Q107" s="15">
        <f>PRODUCT(Table139159[[#This Row],[QUANTITY]],175)</f>
        <v>0</v>
      </c>
      <c r="R107" s="13">
        <v>0</v>
      </c>
      <c r="S107" s="13">
        <v>1200</v>
      </c>
      <c r="T107" s="28"/>
      <c r="U107" s="37">
        <f>SUM(Table139159[[#This Row],[OPERATOR COST]:[UTILITIES]])*Table139159[[#This Row],[FREQUENCY   (TIMES PER YEAR)]]</f>
        <v>30.9375</v>
      </c>
    </row>
    <row r="108" spans="1:21" hidden="1" x14ac:dyDescent="0.25">
      <c r="A108" s="98" t="str">
        <f>IF(Table139159[[#This Row],[QUANTITY]]&gt;0, "YES", "NO")</f>
        <v>NO</v>
      </c>
      <c r="B108" s="27" t="s">
        <v>717</v>
      </c>
      <c r="C108" s="12" t="s">
        <v>65</v>
      </c>
      <c r="D108" s="12" t="s">
        <v>66</v>
      </c>
      <c r="E108" s="12" t="s">
        <v>22</v>
      </c>
      <c r="F108" s="12" t="s">
        <v>239</v>
      </c>
      <c r="G108" s="103" t="s">
        <v>217</v>
      </c>
      <c r="H108" s="103" t="s">
        <v>202</v>
      </c>
      <c r="I108" s="103">
        <f>1/40</f>
        <v>2.5000000000000001E-2</v>
      </c>
      <c r="J108" s="103">
        <f>IFERROR(VLOOKUP(Table139159[[#This Row],[WORK ORDER]], '1. BUILDING ASSET INVENTORY'!A:K, 10, FALSE),0)</f>
        <v>0</v>
      </c>
      <c r="K108" s="102" t="str">
        <f>IFERROR(VLOOKUP(Table139159[[#This Row],[WORK ORDER]], '1. BUILDING ASSET INVENTORY'!A:L, 11, FALSE),"")</f>
        <v xml:space="preserve">m² </v>
      </c>
      <c r="L108" s="109">
        <v>1</v>
      </c>
      <c r="M108" s="197">
        <v>8.0000000000000002E-3</v>
      </c>
      <c r="N108" s="111">
        <f>Table139159[[#This Row],[OPERATOR HOURS (BASE)]]+Table139159[[#This Row],[QUANTITY]]*Table139159[[#This Row],[OPERATOR HOURS (PER UNIT)]]</f>
        <v>1</v>
      </c>
      <c r="O108" s="36">
        <f>'TABLE OF CONTENTS'!$K$34</f>
        <v>37.5</v>
      </c>
      <c r="P108" s="36">
        <f>Table139159[[#This Row],[TOTAL OPERATOR HOURS]]*Table139159[[#This Row],[OPERATOR RATE]]</f>
        <v>37.5</v>
      </c>
      <c r="Q108" s="15">
        <f>PRODUCT(Table139159[[#This Row],[QUANTITY]],90)</f>
        <v>0</v>
      </c>
      <c r="R108" s="13">
        <v>0</v>
      </c>
      <c r="S108" s="13">
        <v>400</v>
      </c>
      <c r="T108" s="28"/>
      <c r="U108" s="37">
        <f>SUM(Table139159[[#This Row],[OPERATOR COST]:[UTILITIES]])*Table139159[[#This Row],[FREQUENCY   (TIMES PER YEAR)]]</f>
        <v>10.9375</v>
      </c>
    </row>
    <row r="109" spans="1:21" hidden="1" x14ac:dyDescent="0.25">
      <c r="A109" s="98" t="str">
        <f>IF(Table139159[[#This Row],[QUANTITY]]&gt;0, "YES", "NO")</f>
        <v>NO</v>
      </c>
      <c r="B109" s="27" t="s">
        <v>718</v>
      </c>
      <c r="C109" s="12" t="s">
        <v>65</v>
      </c>
      <c r="D109" s="12" t="s">
        <v>66</v>
      </c>
      <c r="E109" s="12" t="s">
        <v>82</v>
      </c>
      <c r="F109" s="12" t="s">
        <v>342</v>
      </c>
      <c r="G109" s="103" t="s">
        <v>217</v>
      </c>
      <c r="H109" s="103" t="s">
        <v>114</v>
      </c>
      <c r="I109" s="103">
        <f>1/25</f>
        <v>0.04</v>
      </c>
      <c r="J109" s="103">
        <f>IFERROR(VLOOKUP(Table139159[[#This Row],[WORK ORDER]], '1. BUILDING ASSET INVENTORY'!A:K, 10, FALSE),0)</f>
        <v>0</v>
      </c>
      <c r="K109" s="102" t="str">
        <f>IFERROR(VLOOKUP(Table139159[[#This Row],[WORK ORDER]], '1. BUILDING ASSET INVENTORY'!A:L, 11, FALSE),"")</f>
        <v xml:space="preserve">m² </v>
      </c>
      <c r="L109" s="109">
        <v>1</v>
      </c>
      <c r="M109" s="197">
        <v>0.04</v>
      </c>
      <c r="N109" s="111">
        <f>Table139159[[#This Row],[OPERATOR HOURS (BASE)]]+Table139159[[#This Row],[QUANTITY]]*Table139159[[#This Row],[OPERATOR HOURS (PER UNIT)]]</f>
        <v>1</v>
      </c>
      <c r="O109" s="36">
        <f>'TABLE OF CONTENTS'!$K$34</f>
        <v>37.5</v>
      </c>
      <c r="P109" s="36">
        <f>Table139159[[#This Row],[TOTAL OPERATOR HOURS]]*Table139159[[#This Row],[OPERATOR RATE]]</f>
        <v>37.5</v>
      </c>
      <c r="Q109" s="14">
        <f>PRODUCT(Table139159[[#This Row],[QUANTITY]],110)</f>
        <v>0</v>
      </c>
      <c r="R109" s="13">
        <v>0</v>
      </c>
      <c r="S109" s="13">
        <v>0</v>
      </c>
      <c r="T109" s="28"/>
      <c r="U109" s="37">
        <f>SUM(Table139159[[#This Row],[OPERATOR COST]:[UTILITIES]])*Table139159[[#This Row],[FREQUENCY   (TIMES PER YEAR)]]</f>
        <v>1.5</v>
      </c>
    </row>
    <row r="110" spans="1:21" x14ac:dyDescent="0.25">
      <c r="A110" s="98" t="str">
        <f>IF(Table139159[[#This Row],[QUANTITY]]&gt;0, "YES", "NO")</f>
        <v>NO</v>
      </c>
      <c r="B110" s="27" t="s">
        <v>719</v>
      </c>
      <c r="C110" s="12" t="s">
        <v>65</v>
      </c>
      <c r="D110" s="12" t="s">
        <v>66</v>
      </c>
      <c r="E110" s="12" t="s">
        <v>337</v>
      </c>
      <c r="F110" s="12" t="s">
        <v>236</v>
      </c>
      <c r="G110" s="103" t="s">
        <v>204</v>
      </c>
      <c r="H110" s="103" t="s">
        <v>8</v>
      </c>
      <c r="I110" s="103">
        <v>1</v>
      </c>
      <c r="J110" s="103">
        <f>IFERROR(VLOOKUP(Table139159[[#This Row],[WORK ORDER]], '1. BUILDING ASSET INVENTORY'!A:K, 10, FALSE),0)</f>
        <v>0</v>
      </c>
      <c r="K110" s="102" t="str">
        <f>IFERROR(VLOOKUP(Table139159[[#This Row],[WORK ORDER]], '1. BUILDING ASSET INVENTORY'!A:L, 11, FALSE),"")</f>
        <v xml:space="preserve">m² </v>
      </c>
      <c r="L110" s="111">
        <v>1</v>
      </c>
      <c r="M110" s="199">
        <v>1.2E-2</v>
      </c>
      <c r="N110" s="111">
        <f>Table139159[[#This Row],[OPERATOR HOURS (BASE)]]+Table139159[[#This Row],[QUANTITY]]*Table139159[[#This Row],[OPERATOR HOURS (PER UNIT)]]</f>
        <v>1</v>
      </c>
      <c r="O110" s="36">
        <f>'TABLE OF CONTENTS'!$K$34</f>
        <v>37.5</v>
      </c>
      <c r="P110" s="36">
        <f>Table139159[[#This Row],[TOTAL OPERATOR HOURS]]*Table139159[[#This Row],[OPERATOR RATE]]</f>
        <v>37.5</v>
      </c>
      <c r="Q110" s="14">
        <v>0</v>
      </c>
      <c r="R110" s="13">
        <v>0</v>
      </c>
      <c r="S110" s="13">
        <v>0</v>
      </c>
      <c r="T110" s="28"/>
      <c r="U110" s="37">
        <f>SUM(Table139159[[#This Row],[OPERATOR COST]:[UTILITIES]])*Table139159[[#This Row],[FREQUENCY   (TIMES PER YEAR)]]</f>
        <v>37.5</v>
      </c>
    </row>
    <row r="111" spans="1:21" x14ac:dyDescent="0.25">
      <c r="A111" s="98" t="str">
        <f>IF(Table139159[[#This Row],[QUANTITY]]&gt;0, "YES", "NO")</f>
        <v>NO</v>
      </c>
      <c r="B111" s="27" t="s">
        <v>381</v>
      </c>
      <c r="C111" s="12" t="s">
        <v>65</v>
      </c>
      <c r="D111" s="12" t="s">
        <v>66</v>
      </c>
      <c r="E111" s="12" t="s">
        <v>337</v>
      </c>
      <c r="F111" s="12" t="s">
        <v>237</v>
      </c>
      <c r="G111" s="103" t="s">
        <v>204</v>
      </c>
      <c r="H111" s="103" t="s">
        <v>12</v>
      </c>
      <c r="I111" s="103">
        <v>4</v>
      </c>
      <c r="J111" s="103">
        <f>IFERROR(VLOOKUP(Table139159[[#This Row],[WORK ORDER]], '1. BUILDING ASSET INVENTORY'!A:K, 10, FALSE),0)</f>
        <v>0</v>
      </c>
      <c r="K111" s="102" t="str">
        <f>IFERROR(VLOOKUP(Table139159[[#This Row],[WORK ORDER]], '1. BUILDING ASSET INVENTORY'!A:L, 11, FALSE),"")</f>
        <v xml:space="preserve">m² </v>
      </c>
      <c r="L111" s="111">
        <v>1</v>
      </c>
      <c r="M111" s="199">
        <v>4.0000000000000001E-3</v>
      </c>
      <c r="N111" s="111">
        <f>Table139159[[#This Row],[OPERATOR HOURS (BASE)]]+Table139159[[#This Row],[QUANTITY]]*Table139159[[#This Row],[OPERATOR HOURS (PER UNIT)]]</f>
        <v>1</v>
      </c>
      <c r="O111" s="36">
        <f>'TABLE OF CONTENTS'!$K$34</f>
        <v>37.5</v>
      </c>
      <c r="P111" s="36">
        <f>Table139159[[#This Row],[TOTAL OPERATOR HOURS]]*Table139159[[#This Row],[OPERATOR RATE]]</f>
        <v>37.5</v>
      </c>
      <c r="Q111" s="14">
        <v>0</v>
      </c>
      <c r="R111" s="13">
        <v>0</v>
      </c>
      <c r="S111" s="13">
        <v>0</v>
      </c>
      <c r="T111" s="28"/>
      <c r="U111" s="37">
        <f>SUM(Table139159[[#This Row],[OPERATOR COST]:[UTILITIES]])*Table139159[[#This Row],[FREQUENCY   (TIMES PER YEAR)]]</f>
        <v>150</v>
      </c>
    </row>
    <row r="112" spans="1:21" x14ac:dyDescent="0.25">
      <c r="A112" s="98" t="str">
        <f>IF(Table139159[[#This Row],[QUANTITY]]&gt;0, "YES", "NO")</f>
        <v>NO</v>
      </c>
      <c r="B112" s="27" t="s">
        <v>382</v>
      </c>
      <c r="C112" s="12" t="s">
        <v>65</v>
      </c>
      <c r="D112" s="12" t="s">
        <v>66</v>
      </c>
      <c r="E112" s="12" t="s">
        <v>337</v>
      </c>
      <c r="F112" s="12" t="s">
        <v>238</v>
      </c>
      <c r="G112" s="103" t="s">
        <v>204</v>
      </c>
      <c r="H112" s="103" t="s">
        <v>12</v>
      </c>
      <c r="I112" s="103">
        <v>1</v>
      </c>
      <c r="J112" s="103">
        <f>IFERROR(VLOOKUP(Table139159[[#This Row],[WORK ORDER]], '1. BUILDING ASSET INVENTORY'!A:K, 10, FALSE),0)</f>
        <v>0</v>
      </c>
      <c r="K112" s="102" t="str">
        <f>IFERROR(VLOOKUP(Table139159[[#This Row],[WORK ORDER]], '1. BUILDING ASSET INVENTORY'!A:L, 11, FALSE),"")</f>
        <v xml:space="preserve">m² </v>
      </c>
      <c r="L112" s="111">
        <v>1</v>
      </c>
      <c r="M112" s="199">
        <v>0.01</v>
      </c>
      <c r="N112" s="111">
        <f>Table139159[[#This Row],[OPERATOR HOURS (BASE)]]+Table139159[[#This Row],[QUANTITY]]*Table139159[[#This Row],[OPERATOR HOURS (PER UNIT)]]</f>
        <v>1</v>
      </c>
      <c r="O112" s="36">
        <f>'TABLE OF CONTENTS'!$K$34</f>
        <v>37.5</v>
      </c>
      <c r="P112" s="36">
        <f>Table139159[[#This Row],[TOTAL OPERATOR HOURS]]*Table139159[[#This Row],[OPERATOR RATE]]</f>
        <v>37.5</v>
      </c>
      <c r="Q112" s="13">
        <v>0</v>
      </c>
      <c r="R112" s="13">
        <v>0</v>
      </c>
      <c r="S112" s="13">
        <v>100</v>
      </c>
      <c r="T112" s="28"/>
      <c r="U112" s="37">
        <f>SUM(Table139159[[#This Row],[OPERATOR COST]:[UTILITIES]])*Table139159[[#This Row],[FREQUENCY   (TIMES PER YEAR)]]</f>
        <v>137.5</v>
      </c>
    </row>
    <row r="113" spans="1:21" x14ac:dyDescent="0.25">
      <c r="A113" s="98" t="str">
        <f>IF(Table139159[[#This Row],[QUANTITY]]&gt;0, "YES", "NO")</f>
        <v>NO</v>
      </c>
      <c r="B113" s="27" t="s">
        <v>383</v>
      </c>
      <c r="C113" s="12" t="s">
        <v>65</v>
      </c>
      <c r="D113" s="12" t="s">
        <v>66</v>
      </c>
      <c r="E113" s="12" t="s">
        <v>23</v>
      </c>
      <c r="F113" s="12" t="s">
        <v>240</v>
      </c>
      <c r="G113" s="103" t="s">
        <v>204</v>
      </c>
      <c r="H113" s="103" t="s">
        <v>13</v>
      </c>
      <c r="I113" s="103">
        <v>2</v>
      </c>
      <c r="J113" s="103">
        <f>IFERROR(VLOOKUP(Table139159[[#This Row],[WORK ORDER]], '1. BUILDING ASSET INVENTORY'!A:K, 10, FALSE),0)</f>
        <v>0</v>
      </c>
      <c r="K113" s="102" t="str">
        <f>IFERROR(VLOOKUP(Table139159[[#This Row],[WORK ORDER]], '1. BUILDING ASSET INVENTORY'!A:L, 11, FALSE),"")</f>
        <v xml:space="preserve">m² </v>
      </c>
      <c r="L113" s="111">
        <v>1</v>
      </c>
      <c r="M113" s="199">
        <v>0.01</v>
      </c>
      <c r="N113" s="111">
        <f>Table139159[[#This Row],[OPERATOR HOURS (BASE)]]+Table139159[[#This Row],[QUANTITY]]*Table139159[[#This Row],[OPERATOR HOURS (PER UNIT)]]</f>
        <v>1</v>
      </c>
      <c r="O113" s="36">
        <f>'TABLE OF CONTENTS'!$K$34</f>
        <v>37.5</v>
      </c>
      <c r="P113" s="36">
        <f>Table139159[[#This Row],[TOTAL OPERATOR HOURS]]*Table139159[[#This Row],[OPERATOR RATE]]</f>
        <v>37.5</v>
      </c>
      <c r="Q113" s="14">
        <v>0</v>
      </c>
      <c r="R113" s="13">
        <v>400</v>
      </c>
      <c r="S113" s="13">
        <v>0</v>
      </c>
      <c r="T113" s="28"/>
      <c r="U113" s="37">
        <f>SUM(Table139159[[#This Row],[OPERATOR COST]:[UTILITIES]])*Table139159[[#This Row],[FREQUENCY   (TIMES PER YEAR)]]</f>
        <v>875</v>
      </c>
    </row>
    <row r="114" spans="1:21" x14ac:dyDescent="0.25">
      <c r="A114" s="98" t="str">
        <f>IF(Table139159[[#This Row],[QUANTITY]]&gt;0, "YES", "NO")</f>
        <v>NO</v>
      </c>
      <c r="B114" s="27" t="s">
        <v>384</v>
      </c>
      <c r="C114" s="12" t="s">
        <v>65</v>
      </c>
      <c r="D114" s="12" t="s">
        <v>66</v>
      </c>
      <c r="E114" s="12" t="s">
        <v>82</v>
      </c>
      <c r="F114" s="12" t="s">
        <v>371</v>
      </c>
      <c r="G114" s="103" t="s">
        <v>204</v>
      </c>
      <c r="H114" s="103" t="s">
        <v>13</v>
      </c>
      <c r="I114" s="103">
        <v>2</v>
      </c>
      <c r="J114" s="103">
        <f>IFERROR(VLOOKUP(Table139159[[#This Row],[WORK ORDER]], '1. BUILDING ASSET INVENTORY'!A:K, 10, FALSE),0)</f>
        <v>0</v>
      </c>
      <c r="K114" s="102" t="str">
        <f>IFERROR(VLOOKUP(Table139159[[#This Row],[WORK ORDER]], '1. BUILDING ASSET INVENTORY'!A:L, 11, FALSE),"")</f>
        <v xml:space="preserve">m² </v>
      </c>
      <c r="L114" s="111">
        <v>1</v>
      </c>
      <c r="M114" s="199">
        <v>0.04</v>
      </c>
      <c r="N114" s="111">
        <f>Table139159[[#This Row],[OPERATOR HOURS (BASE)]]+Table139159[[#This Row],[QUANTITY]]*Table139159[[#This Row],[OPERATOR HOURS (PER UNIT)]]</f>
        <v>1</v>
      </c>
      <c r="O114" s="36">
        <f>'TABLE OF CONTENTS'!$K$34</f>
        <v>37.5</v>
      </c>
      <c r="P114" s="36">
        <f>Table139159[[#This Row],[TOTAL OPERATOR HOURS]]*Table139159[[#This Row],[OPERATOR RATE]]</f>
        <v>37.5</v>
      </c>
      <c r="Q114" s="14">
        <v>0</v>
      </c>
      <c r="R114" s="13">
        <v>25</v>
      </c>
      <c r="S114" s="13">
        <v>0</v>
      </c>
      <c r="T114" s="28"/>
      <c r="U114" s="37">
        <f>SUM(Table139159[[#This Row],[OPERATOR COST]:[UTILITIES]])*Table139159[[#This Row],[FREQUENCY   (TIMES PER YEAR)]]</f>
        <v>125</v>
      </c>
    </row>
    <row r="115" spans="1:21" hidden="1" x14ac:dyDescent="0.25">
      <c r="A115" s="98" t="str">
        <f>IF(Table139159[[#This Row],[QUANTITY]]&gt;0, "YES", "NO")</f>
        <v>NO</v>
      </c>
      <c r="B115" s="27" t="s">
        <v>702</v>
      </c>
      <c r="C115" s="12" t="s">
        <v>65</v>
      </c>
      <c r="D115" s="12" t="s">
        <v>67</v>
      </c>
      <c r="E115" s="12" t="s">
        <v>365</v>
      </c>
      <c r="F115" s="12" t="s">
        <v>241</v>
      </c>
      <c r="G115" s="103" t="s">
        <v>217</v>
      </c>
      <c r="H115" s="103" t="s">
        <v>114</v>
      </c>
      <c r="I115" s="103">
        <f>1/25</f>
        <v>0.04</v>
      </c>
      <c r="J115" s="103">
        <f>IFERROR(VLOOKUP(Table139159[[#This Row],[WORK ORDER]], '1. BUILDING ASSET INVENTORY'!A:K, 10, FALSE),0)</f>
        <v>0</v>
      </c>
      <c r="K115" s="102" t="str">
        <f>IFERROR(VLOOKUP(Table139159[[#This Row],[WORK ORDER]], '1. BUILDING ASSET INVENTORY'!A:L, 11, FALSE),"")</f>
        <v xml:space="preserve">m² </v>
      </c>
      <c r="L115" s="111">
        <v>1</v>
      </c>
      <c r="M115" s="199">
        <v>0.04</v>
      </c>
      <c r="N115" s="111">
        <f>Table139159[[#This Row],[OPERATOR HOURS (BASE)]]+Table139159[[#This Row],[QUANTITY]]*Table139159[[#This Row],[OPERATOR HOURS (PER UNIT)]]</f>
        <v>1</v>
      </c>
      <c r="O115" s="36">
        <f>'TABLE OF CONTENTS'!$K$34</f>
        <v>37.5</v>
      </c>
      <c r="P115" s="36">
        <f>Table139159[[#This Row],[TOTAL OPERATOR HOURS]]*Table139159[[#This Row],[OPERATOR RATE]]</f>
        <v>37.5</v>
      </c>
      <c r="Q115" s="14">
        <f>PRODUCT(Table139159[[#This Row],[QUANTITY]],55)</f>
        <v>0</v>
      </c>
      <c r="R115" s="13">
        <v>0</v>
      </c>
      <c r="S115" s="13">
        <v>0</v>
      </c>
      <c r="T115" s="28"/>
      <c r="U115" s="37">
        <f>SUM(Table139159[[#This Row],[OPERATOR COST]:[UTILITIES]])*Table139159[[#This Row],[FREQUENCY   (TIMES PER YEAR)]]</f>
        <v>1.5</v>
      </c>
    </row>
    <row r="116" spans="1:21" hidden="1" x14ac:dyDescent="0.25">
      <c r="A116" s="98" t="str">
        <f>IF(Table139159[[#This Row],[QUANTITY]]&gt;0, "YES", "NO")</f>
        <v>NO</v>
      </c>
      <c r="B116" s="27" t="s">
        <v>703</v>
      </c>
      <c r="C116" s="12" t="s">
        <v>65</v>
      </c>
      <c r="D116" s="12" t="s">
        <v>67</v>
      </c>
      <c r="E116" s="12" t="s">
        <v>53</v>
      </c>
      <c r="F116" s="12" t="s">
        <v>53</v>
      </c>
      <c r="G116" s="103" t="s">
        <v>15</v>
      </c>
      <c r="H116" s="103" t="s">
        <v>12</v>
      </c>
      <c r="I116" s="103">
        <v>0</v>
      </c>
      <c r="J116" s="103">
        <f>IFERROR(VLOOKUP(Table139159[[#This Row],[WORK ORDER]], '1. BUILDING ASSET INVENTORY'!A:K, 10, FALSE),0)</f>
        <v>0</v>
      </c>
      <c r="K116" s="102" t="str">
        <f>IFERROR(VLOOKUP(Table139159[[#This Row],[WORK ORDER]], '1. BUILDING ASSET INVENTORY'!A:L, 11, FALSE),"")</f>
        <v/>
      </c>
      <c r="L116" s="109"/>
      <c r="M116" s="197"/>
      <c r="N116" s="109">
        <f>Table139159[[#This Row],[OPERATOR HOURS (BASE)]]+Table139159[[#This Row],[QUANTITY]]*Table139159[[#This Row],[OPERATOR HOURS (PER UNIT)]]</f>
        <v>0</v>
      </c>
      <c r="O116" s="36">
        <f>'TABLE OF CONTENTS'!$K$34</f>
        <v>37.5</v>
      </c>
      <c r="P116" s="36">
        <f>Table139159[[#This Row],[TOTAL OPERATOR HOURS]]*Table139159[[#This Row],[OPERATOR RATE]]</f>
        <v>0</v>
      </c>
      <c r="Q116" s="14">
        <v>0</v>
      </c>
      <c r="R116" s="13">
        <v>0</v>
      </c>
      <c r="S116" s="13">
        <v>0</v>
      </c>
      <c r="T116" s="28"/>
      <c r="U116" s="37">
        <f>SUM(Table139159[[#This Row],[OPERATOR COST]:[UTILITIES]])*Table139159[[#This Row],[FREQUENCY   (TIMES PER YEAR)]]</f>
        <v>0</v>
      </c>
    </row>
    <row r="117" spans="1:21" hidden="1" x14ac:dyDescent="0.25">
      <c r="A117" s="98" t="str">
        <f>IF(Table139159[[#This Row],[QUANTITY]]&gt;0, "YES", "NO")</f>
        <v>NO</v>
      </c>
      <c r="B117" s="27" t="s">
        <v>704</v>
      </c>
      <c r="C117" s="12" t="s">
        <v>65</v>
      </c>
      <c r="D117" s="12" t="s">
        <v>67</v>
      </c>
      <c r="E117" s="12" t="s">
        <v>53</v>
      </c>
      <c r="F117" s="12" t="s">
        <v>53</v>
      </c>
      <c r="G117" s="103" t="s">
        <v>15</v>
      </c>
      <c r="H117" s="103" t="s">
        <v>12</v>
      </c>
      <c r="I117" s="103">
        <v>0</v>
      </c>
      <c r="J117" s="103">
        <f>IFERROR(VLOOKUP(Table139159[[#This Row],[WORK ORDER]], '1. BUILDING ASSET INVENTORY'!A:K, 10, FALSE),0)</f>
        <v>0</v>
      </c>
      <c r="K117" s="102" t="str">
        <f>IFERROR(VLOOKUP(Table139159[[#This Row],[WORK ORDER]], '1. BUILDING ASSET INVENTORY'!A:L, 11, FALSE),"")</f>
        <v/>
      </c>
      <c r="L117" s="109"/>
      <c r="M117" s="197"/>
      <c r="N117" s="109">
        <f>Table139159[[#This Row],[OPERATOR HOURS (BASE)]]+Table139159[[#This Row],[QUANTITY]]*Table139159[[#This Row],[OPERATOR HOURS (PER UNIT)]]</f>
        <v>0</v>
      </c>
      <c r="O117" s="36">
        <f>'TABLE OF CONTENTS'!$K$34</f>
        <v>37.5</v>
      </c>
      <c r="P117" s="36">
        <f>Table139159[[#This Row],[TOTAL OPERATOR HOURS]]*Table139159[[#This Row],[OPERATOR RATE]]</f>
        <v>0</v>
      </c>
      <c r="Q117" s="14">
        <v>0</v>
      </c>
      <c r="R117" s="13">
        <v>0</v>
      </c>
      <c r="S117" s="13">
        <v>0</v>
      </c>
      <c r="T117" s="28"/>
      <c r="U117" s="37">
        <f>SUM(Table139159[[#This Row],[OPERATOR COST]:[UTILITIES]])*Table139159[[#This Row],[FREQUENCY   (TIMES PER YEAR)]]</f>
        <v>0</v>
      </c>
    </row>
    <row r="118" spans="1:21" hidden="1" x14ac:dyDescent="0.25">
      <c r="A118" s="98" t="str">
        <f>IF(Table139159[[#This Row],[QUANTITY]]&gt;0, "YES", "NO")</f>
        <v>NO</v>
      </c>
      <c r="B118" s="27" t="s">
        <v>705</v>
      </c>
      <c r="C118" s="12" t="s">
        <v>65</v>
      </c>
      <c r="D118" s="12" t="s">
        <v>67</v>
      </c>
      <c r="E118" s="12" t="s">
        <v>53</v>
      </c>
      <c r="F118" s="12" t="s">
        <v>53</v>
      </c>
      <c r="G118" s="103" t="s">
        <v>15</v>
      </c>
      <c r="H118" s="103" t="s">
        <v>12</v>
      </c>
      <c r="I118" s="103">
        <v>0</v>
      </c>
      <c r="J118" s="103">
        <f>IFERROR(VLOOKUP(Table139159[[#This Row],[WORK ORDER]], '1. BUILDING ASSET INVENTORY'!A:K, 10, FALSE),0)</f>
        <v>0</v>
      </c>
      <c r="K118" s="102" t="str">
        <f>IFERROR(VLOOKUP(Table139159[[#This Row],[WORK ORDER]], '1. BUILDING ASSET INVENTORY'!A:L, 11, FALSE),"")</f>
        <v/>
      </c>
      <c r="L118" s="111"/>
      <c r="M118" s="199"/>
      <c r="N118" s="111">
        <f>Table139159[[#This Row],[OPERATOR HOURS (BASE)]]+Table139159[[#This Row],[QUANTITY]]*Table139159[[#This Row],[OPERATOR HOURS (PER UNIT)]]</f>
        <v>0</v>
      </c>
      <c r="O118" s="36">
        <f>'TABLE OF CONTENTS'!$K$34</f>
        <v>37.5</v>
      </c>
      <c r="P118" s="36">
        <f>Table139159[[#This Row],[TOTAL OPERATOR HOURS]]*Table139159[[#This Row],[OPERATOR RATE]]</f>
        <v>0</v>
      </c>
      <c r="Q118" s="14">
        <v>0</v>
      </c>
      <c r="R118" s="13">
        <v>0</v>
      </c>
      <c r="S118" s="13">
        <v>0</v>
      </c>
      <c r="T118" s="28"/>
      <c r="U118" s="37">
        <f>SUM(Table139159[[#This Row],[OPERATOR COST]:[UTILITIES]])*Table139159[[#This Row],[FREQUENCY   (TIMES PER YEAR)]]</f>
        <v>0</v>
      </c>
    </row>
    <row r="119" spans="1:21" hidden="1" x14ac:dyDescent="0.25">
      <c r="A119" s="98" t="str">
        <f>IF(Table139159[[#This Row],[QUANTITY]]&gt;0, "YES", "NO")</f>
        <v>NO</v>
      </c>
      <c r="B119" s="27" t="s">
        <v>706</v>
      </c>
      <c r="C119" s="12" t="s">
        <v>65</v>
      </c>
      <c r="D119" s="12" t="s">
        <v>67</v>
      </c>
      <c r="E119" s="12" t="s">
        <v>53</v>
      </c>
      <c r="F119" s="12" t="s">
        <v>53</v>
      </c>
      <c r="G119" s="103" t="s">
        <v>15</v>
      </c>
      <c r="H119" s="103" t="s">
        <v>12</v>
      </c>
      <c r="I119" s="103">
        <v>0</v>
      </c>
      <c r="J119" s="103">
        <f>IFERROR(VLOOKUP(Table139159[[#This Row],[WORK ORDER]], '1. BUILDING ASSET INVENTORY'!A:K, 10, FALSE),0)</f>
        <v>0</v>
      </c>
      <c r="K119" s="102" t="str">
        <f>IFERROR(VLOOKUP(Table139159[[#This Row],[WORK ORDER]], '1. BUILDING ASSET INVENTORY'!A:L, 11, FALSE),"")</f>
        <v/>
      </c>
      <c r="L119" s="109"/>
      <c r="M119" s="197"/>
      <c r="N119" s="109">
        <f>Table139159[[#This Row],[OPERATOR HOURS (BASE)]]+Table139159[[#This Row],[QUANTITY]]*Table139159[[#This Row],[OPERATOR HOURS (PER UNIT)]]</f>
        <v>0</v>
      </c>
      <c r="O119" s="36">
        <f>'TABLE OF CONTENTS'!$K$34</f>
        <v>37.5</v>
      </c>
      <c r="P119" s="36">
        <f>Table139159[[#This Row],[TOTAL OPERATOR HOURS]]*Table139159[[#This Row],[OPERATOR RATE]]</f>
        <v>0</v>
      </c>
      <c r="Q119" s="14">
        <v>0</v>
      </c>
      <c r="R119" s="13">
        <v>0</v>
      </c>
      <c r="S119" s="13">
        <v>0</v>
      </c>
      <c r="T119" s="28"/>
      <c r="U119" s="37">
        <f>SUM(Table139159[[#This Row],[OPERATOR COST]:[UTILITIES]])*Table139159[[#This Row],[FREQUENCY   (TIMES PER YEAR)]]</f>
        <v>0</v>
      </c>
    </row>
    <row r="120" spans="1:21" hidden="1" x14ac:dyDescent="0.25">
      <c r="A120" s="98" t="str">
        <f>IF(Table139159[[#This Row],[QUANTITY]]&gt;0, "YES", "NO")</f>
        <v>NO</v>
      </c>
      <c r="B120" s="27" t="s">
        <v>707</v>
      </c>
      <c r="C120" s="12" t="s">
        <v>65</v>
      </c>
      <c r="D120" s="12" t="s">
        <v>67</v>
      </c>
      <c r="E120" s="12" t="s">
        <v>24</v>
      </c>
      <c r="F120" s="12" t="s">
        <v>241</v>
      </c>
      <c r="G120" s="103" t="s">
        <v>217</v>
      </c>
      <c r="H120" s="103" t="s">
        <v>202</v>
      </c>
      <c r="I120" s="103">
        <f>1/40</f>
        <v>2.5000000000000001E-2</v>
      </c>
      <c r="J120" s="103">
        <f>IFERROR(VLOOKUP(Table139159[[#This Row],[WORK ORDER]], '1. BUILDING ASSET INVENTORY'!A:K, 10, FALSE),0)</f>
        <v>0</v>
      </c>
      <c r="K120" s="102" t="str">
        <f>IFERROR(VLOOKUP(Table139159[[#This Row],[WORK ORDER]], '1. BUILDING ASSET INVENTORY'!A:L, 11, FALSE),"")</f>
        <v xml:space="preserve">m² </v>
      </c>
      <c r="L120" s="111"/>
      <c r="M120" s="199">
        <v>0.04</v>
      </c>
      <c r="N120" s="109">
        <f>Table139159[[#This Row],[OPERATOR HOURS (BASE)]]+Table139159[[#This Row],[QUANTITY]]*Table139159[[#This Row],[OPERATOR HOURS (PER UNIT)]]</f>
        <v>0</v>
      </c>
      <c r="O120" s="36">
        <f>'TABLE OF CONTENTS'!$K$34</f>
        <v>37.5</v>
      </c>
      <c r="P120" s="36">
        <f>Table139159[[#This Row],[TOTAL OPERATOR HOURS]]*Table139159[[#This Row],[OPERATOR RATE]]</f>
        <v>0</v>
      </c>
      <c r="Q120" s="14">
        <f>PRODUCT(Table139159[[#This Row],[QUANTITY]],430)</f>
        <v>0</v>
      </c>
      <c r="R120" s="13">
        <v>0</v>
      </c>
      <c r="S120" s="13">
        <v>2500</v>
      </c>
      <c r="T120" s="28"/>
      <c r="U120" s="37">
        <f>SUM(Table139159[[#This Row],[OPERATOR COST]:[UTILITIES]])*Table139159[[#This Row],[FREQUENCY   (TIMES PER YEAR)]]</f>
        <v>62.5</v>
      </c>
    </row>
    <row r="121" spans="1:21" ht="30" hidden="1" x14ac:dyDescent="0.25">
      <c r="A121" s="98" t="str">
        <f>IF(Table139159[[#This Row],[QUANTITY]]&gt;0, "YES", "NO")</f>
        <v>NO</v>
      </c>
      <c r="B121" s="27" t="s">
        <v>708</v>
      </c>
      <c r="C121" s="12" t="s">
        <v>65</v>
      </c>
      <c r="D121" s="12" t="s">
        <v>67</v>
      </c>
      <c r="E121" s="12" t="s">
        <v>366</v>
      </c>
      <c r="F121" s="12" t="s">
        <v>241</v>
      </c>
      <c r="G121" s="103" t="s">
        <v>217</v>
      </c>
      <c r="H121" s="103" t="s">
        <v>202</v>
      </c>
      <c r="I121" s="103">
        <v>0</v>
      </c>
      <c r="J121" s="103">
        <f>IFERROR(VLOOKUP(Table139159[[#This Row],[WORK ORDER]], '1. BUILDING ASSET INVENTORY'!A:K, 10, FALSE),0)</f>
        <v>0</v>
      </c>
      <c r="K121" s="102" t="str">
        <f>IFERROR(VLOOKUP(Table139159[[#This Row],[WORK ORDER]], '1. BUILDING ASSET INVENTORY'!A:L, 11, FALSE),"")</f>
        <v xml:space="preserve">m² </v>
      </c>
      <c r="L121" s="111">
        <v>1</v>
      </c>
      <c r="M121" s="199">
        <v>0.04</v>
      </c>
      <c r="N121" s="111">
        <f>Table139159[[#This Row],[OPERATOR HOURS (BASE)]]+Table139159[[#This Row],[QUANTITY]]*Table139159[[#This Row],[OPERATOR HOURS (PER UNIT)]]</f>
        <v>1</v>
      </c>
      <c r="O121" s="36">
        <f>'TABLE OF CONTENTS'!$K$34</f>
        <v>37.5</v>
      </c>
      <c r="P121" s="36">
        <f>Table139159[[#This Row],[TOTAL OPERATOR HOURS]]*Table139159[[#This Row],[OPERATOR RATE]]</f>
        <v>37.5</v>
      </c>
      <c r="Q121" s="14">
        <f>PRODUCT(Table139159[[#This Row],[QUANTITY]],110)</f>
        <v>0</v>
      </c>
      <c r="R121" s="13">
        <v>0</v>
      </c>
      <c r="S121" s="13">
        <v>0</v>
      </c>
      <c r="T121" s="28"/>
      <c r="U121" s="37">
        <f>SUM(Table139159[[#This Row],[OPERATOR COST]:[UTILITIES]])*Table139159[[#This Row],[FREQUENCY   (TIMES PER YEAR)]]</f>
        <v>0</v>
      </c>
    </row>
    <row r="122" spans="1:21" hidden="1" x14ac:dyDescent="0.25">
      <c r="A122" s="98" t="str">
        <f>IF(Table139159[[#This Row],[QUANTITY]]&gt;0, "YES", "NO")</f>
        <v>NO</v>
      </c>
      <c r="B122" s="27" t="s">
        <v>709</v>
      </c>
      <c r="C122" s="12" t="s">
        <v>65</v>
      </c>
      <c r="D122" s="12" t="s">
        <v>67</v>
      </c>
      <c r="E122" s="12" t="s">
        <v>25</v>
      </c>
      <c r="F122" s="12" t="s">
        <v>241</v>
      </c>
      <c r="G122" s="103" t="s">
        <v>217</v>
      </c>
      <c r="H122" s="103" t="s">
        <v>202</v>
      </c>
      <c r="I122" s="103">
        <f>1/40</f>
        <v>2.5000000000000001E-2</v>
      </c>
      <c r="J122" s="103">
        <f>IFERROR(VLOOKUP(Table139159[[#This Row],[WORK ORDER]], '1. BUILDING ASSET INVENTORY'!A:K, 10, FALSE),0)</f>
        <v>0</v>
      </c>
      <c r="K122" s="102" t="str">
        <f>IFERROR(VLOOKUP(Table139159[[#This Row],[WORK ORDER]], '1. BUILDING ASSET INVENTORY'!A:L, 11, FALSE),"")</f>
        <v xml:space="preserve">m² </v>
      </c>
      <c r="L122" s="111">
        <v>1</v>
      </c>
      <c r="M122" s="199">
        <v>0.04</v>
      </c>
      <c r="N122" s="109">
        <f>Table139159[[#This Row],[OPERATOR HOURS (BASE)]]+Table139159[[#This Row],[QUANTITY]]*Table139159[[#This Row],[OPERATOR HOURS (PER UNIT)]]</f>
        <v>1</v>
      </c>
      <c r="O122" s="36">
        <f>'TABLE OF CONTENTS'!$K$34</f>
        <v>37.5</v>
      </c>
      <c r="P122" s="36">
        <f>Table139159[[#This Row],[TOTAL OPERATOR HOURS]]*Table139159[[#This Row],[OPERATOR RATE]]</f>
        <v>37.5</v>
      </c>
      <c r="Q122" s="14">
        <f>PRODUCT(Table139159[[#This Row],[QUANTITY]],200)</f>
        <v>0</v>
      </c>
      <c r="R122" s="13">
        <v>0</v>
      </c>
      <c r="S122" s="13">
        <v>0</v>
      </c>
      <c r="T122" s="28"/>
      <c r="U122" s="37">
        <f>SUM(Table139159[[#This Row],[OPERATOR COST]:[UTILITIES]])*Table139159[[#This Row],[FREQUENCY   (TIMES PER YEAR)]]</f>
        <v>0.9375</v>
      </c>
    </row>
    <row r="123" spans="1:21" hidden="1" x14ac:dyDescent="0.25">
      <c r="A123" s="98" t="str">
        <f>IF(Table139159[[#This Row],[QUANTITY]]&gt;0, "YES", "NO")</f>
        <v>NO</v>
      </c>
      <c r="B123" s="27" t="s">
        <v>710</v>
      </c>
      <c r="C123" s="12" t="s">
        <v>65</v>
      </c>
      <c r="D123" s="12" t="s">
        <v>67</v>
      </c>
      <c r="E123" s="12" t="s">
        <v>83</v>
      </c>
      <c r="F123" s="12" t="s">
        <v>241</v>
      </c>
      <c r="G123" s="103" t="s">
        <v>217</v>
      </c>
      <c r="H123" s="103" t="s">
        <v>202</v>
      </c>
      <c r="I123" s="103">
        <f>1/40</f>
        <v>2.5000000000000001E-2</v>
      </c>
      <c r="J123" s="103">
        <f>IFERROR(VLOOKUP(Table139159[[#This Row],[WORK ORDER]], '1. BUILDING ASSET INVENTORY'!A:K, 10, FALSE),0)</f>
        <v>0</v>
      </c>
      <c r="K123" s="102" t="str">
        <f>IFERROR(VLOOKUP(Table139159[[#This Row],[WORK ORDER]], '1. BUILDING ASSET INVENTORY'!A:L, 11, FALSE),"")</f>
        <v xml:space="preserve">m² </v>
      </c>
      <c r="L123" s="111">
        <v>1</v>
      </c>
      <c r="M123" s="199">
        <v>0.04</v>
      </c>
      <c r="N123" s="109">
        <f>Table139159[[#This Row],[OPERATOR HOURS (BASE)]]+Table139159[[#This Row],[QUANTITY]]*Table139159[[#This Row],[OPERATOR HOURS (PER UNIT)]]</f>
        <v>1</v>
      </c>
      <c r="O123" s="36">
        <f>'TABLE OF CONTENTS'!$K$34</f>
        <v>37.5</v>
      </c>
      <c r="P123" s="36">
        <f>Table139159[[#This Row],[TOTAL OPERATOR HOURS]]*Table139159[[#This Row],[OPERATOR RATE]]</f>
        <v>37.5</v>
      </c>
      <c r="Q123" s="14">
        <f>PRODUCT(Table139159[[#This Row],[QUANTITY]],200)</f>
        <v>0</v>
      </c>
      <c r="R123" s="13">
        <v>0</v>
      </c>
      <c r="S123" s="13">
        <v>0</v>
      </c>
      <c r="T123" s="28"/>
      <c r="U123" s="37">
        <f>SUM(Table139159[[#This Row],[OPERATOR COST]:[UTILITIES]])*Table139159[[#This Row],[FREQUENCY   (TIMES PER YEAR)]]</f>
        <v>0.9375</v>
      </c>
    </row>
    <row r="124" spans="1:21" ht="30" hidden="1" x14ac:dyDescent="0.25">
      <c r="A124" s="98" t="str">
        <f>IF(Table139159[[#This Row],[QUANTITY]]&gt;0, "YES", "NO")</f>
        <v>NO</v>
      </c>
      <c r="B124" s="27" t="s">
        <v>385</v>
      </c>
      <c r="C124" s="12" t="s">
        <v>65</v>
      </c>
      <c r="D124" s="12" t="s">
        <v>67</v>
      </c>
      <c r="E124" s="12" t="s">
        <v>343</v>
      </c>
      <c r="F124" s="12" t="s">
        <v>245</v>
      </c>
      <c r="G124" s="103" t="s">
        <v>217</v>
      </c>
      <c r="H124" s="103" t="s">
        <v>132</v>
      </c>
      <c r="I124" s="103">
        <v>0.1</v>
      </c>
      <c r="J124" s="103">
        <f>IFERROR(VLOOKUP(Table139159[[#This Row],[WORK ORDER]], '1. BUILDING ASSET INVENTORY'!A:K, 10, FALSE),0)</f>
        <v>0</v>
      </c>
      <c r="K124" s="102" t="str">
        <f>IFERROR(VLOOKUP(Table139159[[#This Row],[WORK ORDER]], '1. BUILDING ASSET INVENTORY'!A:L, 11, FALSE),"")</f>
        <v xml:space="preserve">m² </v>
      </c>
      <c r="L124" s="111">
        <v>1</v>
      </c>
      <c r="M124" s="199">
        <v>3.2000000000000001E-2</v>
      </c>
      <c r="N124" s="111">
        <f>Table139159[[#This Row],[OPERATOR HOURS (BASE)]]+Table139159[[#This Row],[QUANTITY]]*Table139159[[#This Row],[OPERATOR HOURS (PER UNIT)]]</f>
        <v>1</v>
      </c>
      <c r="O124" s="36">
        <f>'TABLE OF CONTENTS'!$K$34</f>
        <v>37.5</v>
      </c>
      <c r="P124" s="36">
        <f>Table139159[[#This Row],[TOTAL OPERATOR HOURS]]*Table139159[[#This Row],[OPERATOR RATE]]</f>
        <v>37.5</v>
      </c>
      <c r="Q124" s="14">
        <f>PRODUCT(Table139159[[#This Row],[QUANTITY]],55)</f>
        <v>0</v>
      </c>
      <c r="R124" s="13">
        <v>0</v>
      </c>
      <c r="S124" s="13">
        <v>500</v>
      </c>
      <c r="T124" s="28"/>
      <c r="U124" s="37">
        <f>SUM(Table139159[[#This Row],[OPERATOR COST]:[UTILITIES]])*Table139159[[#This Row],[FREQUENCY   (TIMES PER YEAR)]]</f>
        <v>53.75</v>
      </c>
    </row>
    <row r="125" spans="1:21" x14ac:dyDescent="0.25">
      <c r="A125" s="98" t="str">
        <f>IF(Table139159[[#This Row],[QUANTITY]]&gt;0, "YES", "NO")</f>
        <v>NO</v>
      </c>
      <c r="B125" s="27" t="s">
        <v>386</v>
      </c>
      <c r="C125" s="12" t="s">
        <v>65</v>
      </c>
      <c r="D125" s="12" t="s">
        <v>67</v>
      </c>
      <c r="E125" s="12" t="s">
        <v>337</v>
      </c>
      <c r="F125" s="12" t="s">
        <v>242</v>
      </c>
      <c r="G125" s="103" t="s">
        <v>204</v>
      </c>
      <c r="H125" s="103" t="s">
        <v>8</v>
      </c>
      <c r="I125" s="103">
        <v>1</v>
      </c>
      <c r="J125" s="103">
        <f>IFERROR(VLOOKUP(Table139159[[#This Row],[WORK ORDER]], '1. BUILDING ASSET INVENTORY'!A:K, 10, FALSE),0)</f>
        <v>0</v>
      </c>
      <c r="K125" s="102" t="str">
        <f>IFERROR(VLOOKUP(Table139159[[#This Row],[WORK ORDER]], '1. BUILDING ASSET INVENTORY'!A:L, 11, FALSE),"")</f>
        <v xml:space="preserve">m² </v>
      </c>
      <c r="L125" s="111">
        <v>1</v>
      </c>
      <c r="M125" s="199">
        <v>0.01</v>
      </c>
      <c r="N125" s="111">
        <f>Table139159[[#This Row],[OPERATOR HOURS (BASE)]]+Table139159[[#This Row],[QUANTITY]]*Table139159[[#This Row],[OPERATOR HOURS (PER UNIT)]]</f>
        <v>1</v>
      </c>
      <c r="O125" s="36">
        <f>'TABLE OF CONTENTS'!$K$34</f>
        <v>37.5</v>
      </c>
      <c r="P125" s="36">
        <f>Table139159[[#This Row],[TOTAL OPERATOR HOURS]]*Table139159[[#This Row],[OPERATOR RATE]]</f>
        <v>37.5</v>
      </c>
      <c r="Q125" s="15">
        <v>0</v>
      </c>
      <c r="R125" s="13">
        <v>0</v>
      </c>
      <c r="S125" s="13">
        <v>0</v>
      </c>
      <c r="T125" s="28"/>
      <c r="U125" s="37">
        <f>SUM(Table139159[[#This Row],[OPERATOR COST]:[UTILITIES]])*Table139159[[#This Row],[FREQUENCY   (TIMES PER YEAR)]]</f>
        <v>37.5</v>
      </c>
    </row>
    <row r="126" spans="1:21" x14ac:dyDescent="0.25">
      <c r="A126" s="98" t="str">
        <f>IF(Table139159[[#This Row],[QUANTITY]]&gt;0, "YES", "NO")</f>
        <v>NO</v>
      </c>
      <c r="B126" s="27" t="s">
        <v>387</v>
      </c>
      <c r="C126" s="12" t="s">
        <v>65</v>
      </c>
      <c r="D126" s="12" t="s">
        <v>67</v>
      </c>
      <c r="E126" s="12" t="s">
        <v>337</v>
      </c>
      <c r="F126" s="12" t="s">
        <v>243</v>
      </c>
      <c r="G126" s="103" t="s">
        <v>204</v>
      </c>
      <c r="H126" s="103" t="s">
        <v>12</v>
      </c>
      <c r="I126" s="103">
        <v>1</v>
      </c>
      <c r="J126" s="103">
        <f>IFERROR(VLOOKUP(Table139159[[#This Row],[WORK ORDER]], '1. BUILDING ASSET INVENTORY'!A:K, 10, FALSE),0)</f>
        <v>0</v>
      </c>
      <c r="K126" s="102" t="str">
        <f>IFERROR(VLOOKUP(Table139159[[#This Row],[WORK ORDER]], '1. BUILDING ASSET INVENTORY'!A:L, 11, FALSE),"")</f>
        <v xml:space="preserve">m² </v>
      </c>
      <c r="L126" s="109">
        <v>1</v>
      </c>
      <c r="M126" s="197">
        <v>1.6E-2</v>
      </c>
      <c r="N126" s="109">
        <f>Table139159[[#This Row],[OPERATOR HOURS (BASE)]]+Table139159[[#This Row],[QUANTITY]]*Table139159[[#This Row],[OPERATOR HOURS (PER UNIT)]]</f>
        <v>1</v>
      </c>
      <c r="O126" s="36">
        <f>'TABLE OF CONTENTS'!$K$34</f>
        <v>37.5</v>
      </c>
      <c r="P126" s="36">
        <f>Table139159[[#This Row],[TOTAL OPERATOR HOURS]]*Table139159[[#This Row],[OPERATOR RATE]]</f>
        <v>37.5</v>
      </c>
      <c r="Q126" s="15">
        <v>0</v>
      </c>
      <c r="R126" s="13">
        <v>400</v>
      </c>
      <c r="S126" s="13">
        <v>50</v>
      </c>
      <c r="T126" s="28"/>
      <c r="U126" s="37">
        <f>SUM(Table139159[[#This Row],[OPERATOR COST]:[UTILITIES]])*Table139159[[#This Row],[FREQUENCY   (TIMES PER YEAR)]]</f>
        <v>487.5</v>
      </c>
    </row>
    <row r="127" spans="1:21" x14ac:dyDescent="0.25">
      <c r="A127" s="98" t="str">
        <f>IF(Table139159[[#This Row],[QUANTITY]]&gt;0, "YES", "NO")</f>
        <v>NO</v>
      </c>
      <c r="B127" s="27" t="s">
        <v>388</v>
      </c>
      <c r="C127" s="12" t="s">
        <v>65</v>
      </c>
      <c r="D127" s="12" t="s">
        <v>67</v>
      </c>
      <c r="E127" s="12" t="s">
        <v>337</v>
      </c>
      <c r="F127" s="12" t="s">
        <v>244</v>
      </c>
      <c r="G127" s="103" t="s">
        <v>204</v>
      </c>
      <c r="H127" s="103" t="s">
        <v>12</v>
      </c>
      <c r="I127" s="103">
        <v>1</v>
      </c>
      <c r="J127" s="103">
        <f>IFERROR(VLOOKUP(Table139159[[#This Row],[WORK ORDER]], '1. BUILDING ASSET INVENTORY'!A:K, 10, FALSE),0)</f>
        <v>0</v>
      </c>
      <c r="K127" s="102" t="str">
        <f>IFERROR(VLOOKUP(Table139159[[#This Row],[WORK ORDER]], '1. BUILDING ASSET INVENTORY'!A:L, 11, FALSE),"")</f>
        <v xml:space="preserve">m² </v>
      </c>
      <c r="L127" s="111">
        <v>1</v>
      </c>
      <c r="M127" s="199">
        <v>0.01</v>
      </c>
      <c r="N127" s="111">
        <f>Table139159[[#This Row],[OPERATOR HOURS (BASE)]]+Table139159[[#This Row],[QUANTITY]]*Table139159[[#This Row],[OPERATOR HOURS (PER UNIT)]]</f>
        <v>1</v>
      </c>
      <c r="O127" s="36">
        <f>'TABLE OF CONTENTS'!$K$34</f>
        <v>37.5</v>
      </c>
      <c r="P127" s="36">
        <f>Table139159[[#This Row],[TOTAL OPERATOR HOURS]]*Table139159[[#This Row],[OPERATOR RATE]]</f>
        <v>37.5</v>
      </c>
      <c r="Q127" s="15">
        <v>0</v>
      </c>
      <c r="R127" s="13">
        <v>50</v>
      </c>
      <c r="S127" s="13">
        <v>300</v>
      </c>
      <c r="T127" s="28"/>
      <c r="U127" s="37">
        <f>SUM(Table139159[[#This Row],[OPERATOR COST]:[UTILITIES]])*Table139159[[#This Row],[FREQUENCY   (TIMES PER YEAR)]]</f>
        <v>387.5</v>
      </c>
    </row>
    <row r="128" spans="1:21" ht="30" hidden="1" x14ac:dyDescent="0.25">
      <c r="A128" s="98" t="str">
        <f>IF(Table139159[[#This Row],[QUANTITY]]&gt;0, "YES", "NO")</f>
        <v>NO</v>
      </c>
      <c r="B128" s="27" t="s">
        <v>774</v>
      </c>
      <c r="C128" s="12" t="s">
        <v>65</v>
      </c>
      <c r="D128" s="12" t="s">
        <v>68</v>
      </c>
      <c r="E128" s="12" t="s">
        <v>84</v>
      </c>
      <c r="F128" s="12" t="s">
        <v>246</v>
      </c>
      <c r="G128" s="103" t="s">
        <v>217</v>
      </c>
      <c r="H128" s="103" t="s">
        <v>202</v>
      </c>
      <c r="I128" s="103">
        <f>1/40</f>
        <v>2.5000000000000001E-2</v>
      </c>
      <c r="J128" s="103">
        <f>IFERROR(VLOOKUP(Table139159[[#This Row],[WORK ORDER]], '1. BUILDING ASSET INVENTORY'!A:K, 10, FALSE),0)</f>
        <v>0</v>
      </c>
      <c r="K128" s="102" t="str">
        <f>IFERROR(VLOOKUP(Table139159[[#This Row],[WORK ORDER]], '1. BUILDING ASSET INVENTORY'!A:L, 11, FALSE),"")</f>
        <v>Each</v>
      </c>
      <c r="L128" s="111">
        <v>1</v>
      </c>
      <c r="M128" s="199">
        <v>3.2</v>
      </c>
      <c r="N128" s="111">
        <f>Table139159[[#This Row],[OPERATOR HOURS (BASE)]]+Table139159[[#This Row],[QUANTITY]]*Table139159[[#This Row],[OPERATOR HOURS (PER UNIT)]]</f>
        <v>1</v>
      </c>
      <c r="O128" s="36">
        <f>'TABLE OF CONTENTS'!$K$34</f>
        <v>37.5</v>
      </c>
      <c r="P128" s="36">
        <f>Table139159[[#This Row],[TOTAL OPERATOR HOURS]]*Table139159[[#This Row],[OPERATOR RATE]]</f>
        <v>37.5</v>
      </c>
      <c r="Q128" s="14">
        <f>PRODUCT(Table139159[[#This Row],[QUANTITY]],1200)</f>
        <v>0</v>
      </c>
      <c r="R128" s="13">
        <v>1000</v>
      </c>
      <c r="S128" s="13">
        <v>500</v>
      </c>
      <c r="T128" s="28"/>
      <c r="U128" s="37">
        <f>SUM(Table139159[[#This Row],[OPERATOR COST]:[UTILITIES]])*Table139159[[#This Row],[FREQUENCY   (TIMES PER YEAR)]]</f>
        <v>38.4375</v>
      </c>
    </row>
    <row r="129" spans="1:21" x14ac:dyDescent="0.25">
      <c r="A129" s="98" t="str">
        <f>IF(Table139159[[#This Row],[QUANTITY]]&gt;0, "YES", "NO")</f>
        <v>NO</v>
      </c>
      <c r="B129" s="27" t="s">
        <v>765</v>
      </c>
      <c r="C129" s="12" t="s">
        <v>65</v>
      </c>
      <c r="D129" s="12" t="s">
        <v>68</v>
      </c>
      <c r="E129" s="12" t="s">
        <v>84</v>
      </c>
      <c r="F129" s="12" t="s">
        <v>247</v>
      </c>
      <c r="G129" s="103" t="s">
        <v>204</v>
      </c>
      <c r="H129" s="103" t="s">
        <v>8</v>
      </c>
      <c r="I129" s="103">
        <v>1</v>
      </c>
      <c r="J129" s="103">
        <f>IFERROR(VLOOKUP(Table139159[[#This Row],[WORK ORDER]], '1. BUILDING ASSET INVENTORY'!A:K, 10, FALSE),0)</f>
        <v>0</v>
      </c>
      <c r="K129" s="102" t="str">
        <f>IFERROR(VLOOKUP(Table139159[[#This Row],[WORK ORDER]], '1. BUILDING ASSET INVENTORY'!A:L, 11, FALSE),"")</f>
        <v>Each</v>
      </c>
      <c r="L129" s="109">
        <v>1</v>
      </c>
      <c r="M129" s="197">
        <v>0.4</v>
      </c>
      <c r="N129" s="109">
        <f>Table139159[[#This Row],[OPERATOR HOURS (BASE)]]+Table139159[[#This Row],[QUANTITY]]*Table139159[[#This Row],[OPERATOR HOURS (PER UNIT)]]</f>
        <v>1</v>
      </c>
      <c r="O129" s="36">
        <f>'TABLE OF CONTENTS'!$K$34</f>
        <v>37.5</v>
      </c>
      <c r="P129" s="36">
        <f>Table139159[[#This Row],[TOTAL OPERATOR HOURS]]*Table139159[[#This Row],[OPERATOR RATE]]</f>
        <v>37.5</v>
      </c>
      <c r="Q129" s="14">
        <v>0</v>
      </c>
      <c r="R129" s="13">
        <v>0</v>
      </c>
      <c r="S129" s="13">
        <v>0</v>
      </c>
      <c r="T129" s="28"/>
      <c r="U129" s="37">
        <f>SUM(Table139159[[#This Row],[OPERATOR COST]:[UTILITIES]])*Table139159[[#This Row],[FREQUENCY   (TIMES PER YEAR)]]</f>
        <v>37.5</v>
      </c>
    </row>
    <row r="130" spans="1:21" x14ac:dyDescent="0.25">
      <c r="A130" s="98" t="str">
        <f>IF(Table139159[[#This Row],[QUANTITY]]&gt;0, "YES", "NO")</f>
        <v>NO</v>
      </c>
      <c r="B130" s="27" t="s">
        <v>766</v>
      </c>
      <c r="C130" s="12" t="s">
        <v>65</v>
      </c>
      <c r="D130" s="12" t="s">
        <v>68</v>
      </c>
      <c r="E130" s="12" t="s">
        <v>84</v>
      </c>
      <c r="F130" s="12" t="s">
        <v>248</v>
      </c>
      <c r="G130" s="103" t="s">
        <v>204</v>
      </c>
      <c r="H130" s="103" t="s">
        <v>12</v>
      </c>
      <c r="I130" s="103">
        <v>2</v>
      </c>
      <c r="J130" s="103">
        <f>IFERROR(VLOOKUP(Table139159[[#This Row],[WORK ORDER]], '1. BUILDING ASSET INVENTORY'!A:K, 10, FALSE),0)</f>
        <v>0</v>
      </c>
      <c r="K130" s="102" t="str">
        <f>IFERROR(VLOOKUP(Table139159[[#This Row],[WORK ORDER]], '1. BUILDING ASSET INVENTORY'!A:L, 11, FALSE),"")</f>
        <v>Each</v>
      </c>
      <c r="L130" s="111">
        <v>1</v>
      </c>
      <c r="M130" s="199">
        <v>3</v>
      </c>
      <c r="N130" s="111">
        <f>Table139159[[#This Row],[OPERATOR HOURS (BASE)]]+Table139159[[#This Row],[QUANTITY]]*Table139159[[#This Row],[OPERATOR HOURS (PER UNIT)]]</f>
        <v>1</v>
      </c>
      <c r="O130" s="36">
        <f>'TABLE OF CONTENTS'!$K$34</f>
        <v>37.5</v>
      </c>
      <c r="P130" s="36">
        <f>Table139159[[#This Row],[TOTAL OPERATOR HOURS]]*Table139159[[#This Row],[OPERATOR RATE]]</f>
        <v>37.5</v>
      </c>
      <c r="Q130" s="14">
        <f>PRODUCT(Table139159[[#This Row],[QUANTITY]],500)</f>
        <v>0</v>
      </c>
      <c r="R130" s="13">
        <v>0</v>
      </c>
      <c r="S130" s="13">
        <v>200</v>
      </c>
      <c r="T130" s="28"/>
      <c r="U130" s="37">
        <f>SUM(Table139159[[#This Row],[OPERATOR COST]:[UTILITIES]])*Table139159[[#This Row],[FREQUENCY   (TIMES PER YEAR)]]</f>
        <v>475</v>
      </c>
    </row>
    <row r="131" spans="1:21" x14ac:dyDescent="0.25">
      <c r="A131" s="98" t="str">
        <f>IF(Table139159[[#This Row],[QUANTITY]]&gt;0, "YES", "NO")</f>
        <v>NO</v>
      </c>
      <c r="B131" s="27" t="s">
        <v>767</v>
      </c>
      <c r="C131" s="12" t="s">
        <v>65</v>
      </c>
      <c r="D131" s="12" t="s">
        <v>68</v>
      </c>
      <c r="E131" s="12" t="s">
        <v>84</v>
      </c>
      <c r="F131" s="12" t="s">
        <v>249</v>
      </c>
      <c r="G131" s="103" t="s">
        <v>204</v>
      </c>
      <c r="H131" s="103" t="s">
        <v>8</v>
      </c>
      <c r="I131" s="103">
        <v>1</v>
      </c>
      <c r="J131" s="103">
        <f>IFERROR(VLOOKUP(Table139159[[#This Row],[WORK ORDER]], '1. BUILDING ASSET INVENTORY'!A:K, 10, FALSE),0)</f>
        <v>0</v>
      </c>
      <c r="K131" s="102" t="str">
        <f>IFERROR(VLOOKUP(Table139159[[#This Row],[WORK ORDER]], '1. BUILDING ASSET INVENTORY'!A:L, 11, FALSE),"")</f>
        <v>Each</v>
      </c>
      <c r="L131" s="111">
        <v>1</v>
      </c>
      <c r="M131" s="199">
        <v>0.8</v>
      </c>
      <c r="N131" s="111">
        <f>Table139159[[#This Row],[OPERATOR HOURS (BASE)]]+Table139159[[#This Row],[QUANTITY]]*Table139159[[#This Row],[OPERATOR HOURS (PER UNIT)]]</f>
        <v>1</v>
      </c>
      <c r="O131" s="36">
        <f>'TABLE OF CONTENTS'!$K$34</f>
        <v>37.5</v>
      </c>
      <c r="P131" s="36">
        <f>Table139159[[#This Row],[TOTAL OPERATOR HOURS]]*Table139159[[#This Row],[OPERATOR RATE]]</f>
        <v>37.5</v>
      </c>
      <c r="Q131" s="14">
        <v>0</v>
      </c>
      <c r="R131" s="13">
        <v>100</v>
      </c>
      <c r="S131" s="13">
        <v>10</v>
      </c>
      <c r="T131" s="28"/>
      <c r="U131" s="37">
        <f>SUM(Table139159[[#This Row],[OPERATOR COST]:[UTILITIES]])*Table139159[[#This Row],[FREQUENCY   (TIMES PER YEAR)]]</f>
        <v>147.5</v>
      </c>
    </row>
    <row r="132" spans="1:21" hidden="1" x14ac:dyDescent="0.25">
      <c r="A132" s="98" t="str">
        <f>IF(Table139159[[#This Row],[QUANTITY]]&gt;0, "YES", "NO")</f>
        <v>NO</v>
      </c>
      <c r="B132" s="27" t="s">
        <v>775</v>
      </c>
      <c r="C132" s="12" t="s">
        <v>65</v>
      </c>
      <c r="D132" s="12" t="s">
        <v>68</v>
      </c>
      <c r="E132" s="12" t="s">
        <v>84</v>
      </c>
      <c r="F132" s="12" t="s">
        <v>53</v>
      </c>
      <c r="G132" s="103" t="s">
        <v>15</v>
      </c>
      <c r="H132" s="103" t="s">
        <v>12</v>
      </c>
      <c r="I132" s="103">
        <v>0</v>
      </c>
      <c r="J132" s="103">
        <f>IFERROR(VLOOKUP(Table139159[[#This Row],[WORK ORDER]], '1. BUILDING ASSET INVENTORY'!A:K, 10, FALSE),0)</f>
        <v>0</v>
      </c>
      <c r="K132" s="102" t="str">
        <f>IFERROR(VLOOKUP(Table139159[[#This Row],[WORK ORDER]], '1. BUILDING ASSET INVENTORY'!A:L, 11, FALSE),"")</f>
        <v/>
      </c>
      <c r="L132" s="111"/>
      <c r="M132" s="199"/>
      <c r="N132" s="111">
        <f>Table139159[[#This Row],[OPERATOR HOURS (BASE)]]+Table139159[[#This Row],[QUANTITY]]*Table139159[[#This Row],[OPERATOR HOURS (PER UNIT)]]</f>
        <v>0</v>
      </c>
      <c r="O132" s="36">
        <f>'TABLE OF CONTENTS'!$K$34</f>
        <v>37.5</v>
      </c>
      <c r="P132" s="36">
        <f>Table139159[[#This Row],[TOTAL OPERATOR HOURS]]*Table139159[[#This Row],[OPERATOR RATE]]</f>
        <v>0</v>
      </c>
      <c r="Q132" s="14">
        <v>0</v>
      </c>
      <c r="R132" s="13">
        <v>0</v>
      </c>
      <c r="S132" s="13">
        <v>0</v>
      </c>
      <c r="T132" s="28"/>
      <c r="U132" s="37">
        <f>SUM(Table139159[[#This Row],[OPERATOR COST]:[UTILITIES]])*Table139159[[#This Row],[FREQUENCY   (TIMES PER YEAR)]]</f>
        <v>0</v>
      </c>
    </row>
    <row r="133" spans="1:21" hidden="1" x14ac:dyDescent="0.25">
      <c r="A133" s="98" t="str">
        <f>IF(Table139159[[#This Row],[QUANTITY]]&gt;0, "YES", "NO")</f>
        <v>NO</v>
      </c>
      <c r="B133" s="27" t="s">
        <v>776</v>
      </c>
      <c r="C133" s="12" t="s">
        <v>65</v>
      </c>
      <c r="D133" s="12" t="s">
        <v>68</v>
      </c>
      <c r="E133" s="12" t="s">
        <v>84</v>
      </c>
      <c r="F133" s="12" t="s">
        <v>53</v>
      </c>
      <c r="G133" s="103" t="s">
        <v>15</v>
      </c>
      <c r="H133" s="103" t="s">
        <v>12</v>
      </c>
      <c r="I133" s="103">
        <v>0</v>
      </c>
      <c r="J133" s="103">
        <f>IFERROR(VLOOKUP(Table139159[[#This Row],[WORK ORDER]], '1. BUILDING ASSET INVENTORY'!A:K, 10, FALSE),0)</f>
        <v>0</v>
      </c>
      <c r="K133" s="102" t="str">
        <f>IFERROR(VLOOKUP(Table139159[[#This Row],[WORK ORDER]], '1. BUILDING ASSET INVENTORY'!A:L, 11, FALSE),"")</f>
        <v/>
      </c>
      <c r="L133" s="111"/>
      <c r="M133" s="199"/>
      <c r="N133" s="111">
        <f>Table139159[[#This Row],[OPERATOR HOURS (BASE)]]+Table139159[[#This Row],[QUANTITY]]*Table139159[[#This Row],[OPERATOR HOURS (PER UNIT)]]</f>
        <v>0</v>
      </c>
      <c r="O133" s="36">
        <f>'TABLE OF CONTENTS'!$K$34</f>
        <v>37.5</v>
      </c>
      <c r="P133" s="36">
        <f>Table139159[[#This Row],[TOTAL OPERATOR HOURS]]*Table139159[[#This Row],[OPERATOR RATE]]</f>
        <v>0</v>
      </c>
      <c r="Q133" s="14">
        <v>0</v>
      </c>
      <c r="R133" s="13">
        <v>0</v>
      </c>
      <c r="S133" s="13">
        <v>0</v>
      </c>
      <c r="T133" s="28"/>
      <c r="U133" s="37">
        <f>SUM(Table139159[[#This Row],[OPERATOR COST]:[UTILITIES]])*Table139159[[#This Row],[FREQUENCY   (TIMES PER YEAR)]]</f>
        <v>0</v>
      </c>
    </row>
    <row r="134" spans="1:21" hidden="1" x14ac:dyDescent="0.25">
      <c r="A134" s="98" t="str">
        <f>IF(Table139159[[#This Row],[QUANTITY]]&gt;0, "YES", "NO")</f>
        <v>NO</v>
      </c>
      <c r="B134" s="27" t="s">
        <v>777</v>
      </c>
      <c r="C134" s="12" t="s">
        <v>65</v>
      </c>
      <c r="D134" s="12" t="s">
        <v>68</v>
      </c>
      <c r="E134" s="12" t="s">
        <v>84</v>
      </c>
      <c r="F134" s="12" t="s">
        <v>53</v>
      </c>
      <c r="G134" s="103" t="s">
        <v>15</v>
      </c>
      <c r="H134" s="103" t="s">
        <v>12</v>
      </c>
      <c r="I134" s="103">
        <v>0</v>
      </c>
      <c r="J134" s="103">
        <f>IFERROR(VLOOKUP(Table139159[[#This Row],[WORK ORDER]], '1. BUILDING ASSET INVENTORY'!A:K, 10, FALSE),0)</f>
        <v>0</v>
      </c>
      <c r="K134" s="102" t="str">
        <f>IFERROR(VLOOKUP(Table139159[[#This Row],[WORK ORDER]], '1. BUILDING ASSET INVENTORY'!A:L, 11, FALSE),"")</f>
        <v/>
      </c>
      <c r="L134" s="111"/>
      <c r="M134" s="199"/>
      <c r="N134" s="111">
        <f>Table139159[[#This Row],[OPERATOR HOURS (BASE)]]+Table139159[[#This Row],[QUANTITY]]*Table139159[[#This Row],[OPERATOR HOURS (PER UNIT)]]</f>
        <v>0</v>
      </c>
      <c r="O134" s="36">
        <f>'TABLE OF CONTENTS'!$K$34</f>
        <v>37.5</v>
      </c>
      <c r="P134" s="36">
        <f>Table139159[[#This Row],[TOTAL OPERATOR HOURS]]*Table139159[[#This Row],[OPERATOR RATE]]</f>
        <v>0</v>
      </c>
      <c r="Q134" s="14">
        <v>0</v>
      </c>
      <c r="R134" s="13">
        <v>0</v>
      </c>
      <c r="S134" s="13">
        <v>0</v>
      </c>
      <c r="T134" s="28"/>
      <c r="U134" s="37">
        <f>SUM(Table139159[[#This Row],[OPERATOR COST]:[UTILITIES]])*Table139159[[#This Row],[FREQUENCY   (TIMES PER YEAR)]]</f>
        <v>0</v>
      </c>
    </row>
    <row r="135" spans="1:21" ht="30" hidden="1" x14ac:dyDescent="0.25">
      <c r="A135" s="98" t="str">
        <f>IF(Table139159[[#This Row],[QUANTITY]]&gt;0, "YES", "NO")</f>
        <v>NO</v>
      </c>
      <c r="B135" s="27" t="s">
        <v>778</v>
      </c>
      <c r="C135" s="12" t="s">
        <v>65</v>
      </c>
      <c r="D135" s="12" t="s">
        <v>69</v>
      </c>
      <c r="E135" s="12" t="s">
        <v>26</v>
      </c>
      <c r="F135" s="12" t="s">
        <v>250</v>
      </c>
      <c r="G135" s="103" t="s">
        <v>217</v>
      </c>
      <c r="H135" s="103" t="s">
        <v>202</v>
      </c>
      <c r="I135" s="103">
        <f>1/40</f>
        <v>2.5000000000000001E-2</v>
      </c>
      <c r="J135" s="103">
        <f>IFERROR(VLOOKUP(Table139159[[#This Row],[WORK ORDER]], '1. BUILDING ASSET INVENTORY'!A:K, 10, FALSE),0)</f>
        <v>0</v>
      </c>
      <c r="K135" s="102" t="str">
        <f>IFERROR(VLOOKUP(Table139159[[#This Row],[WORK ORDER]], '1. BUILDING ASSET INVENTORY'!A:L, 11, FALSE),"")</f>
        <v>Each</v>
      </c>
      <c r="L135" s="111">
        <v>1</v>
      </c>
      <c r="M135" s="199">
        <v>0.8</v>
      </c>
      <c r="N135" s="111">
        <f>Table139159[[#This Row],[OPERATOR HOURS (BASE)]]+Table139159[[#This Row],[QUANTITY]]*Table139159[[#This Row],[OPERATOR HOURS (PER UNIT)]]</f>
        <v>1</v>
      </c>
      <c r="O135" s="36">
        <f>'TABLE OF CONTENTS'!$K$34</f>
        <v>37.5</v>
      </c>
      <c r="P135" s="36">
        <f>Table139159[[#This Row],[TOTAL OPERATOR HOURS]]*Table139159[[#This Row],[OPERATOR RATE]]</f>
        <v>37.5</v>
      </c>
      <c r="Q135" s="14">
        <f>PRODUCT(Table139159[[#This Row],[QUANTITY]],3500)</f>
        <v>0</v>
      </c>
      <c r="R135" s="13">
        <v>0</v>
      </c>
      <c r="S135" s="13">
        <v>25000</v>
      </c>
      <c r="T135" s="28"/>
      <c r="U135" s="37">
        <f>SUM(Table139159[[#This Row],[OPERATOR COST]:[UTILITIES]])*Table139159[[#This Row],[FREQUENCY   (TIMES PER YEAR)]]</f>
        <v>625.9375</v>
      </c>
    </row>
    <row r="136" spans="1:21" x14ac:dyDescent="0.25">
      <c r="A136" s="98" t="str">
        <f>IF(Table139159[[#This Row],[QUANTITY]]&gt;0, "YES", "NO")</f>
        <v>NO</v>
      </c>
      <c r="B136" s="27" t="s">
        <v>768</v>
      </c>
      <c r="C136" s="12" t="s">
        <v>65</v>
      </c>
      <c r="D136" s="12" t="s">
        <v>69</v>
      </c>
      <c r="E136" s="12" t="s">
        <v>26</v>
      </c>
      <c r="F136" s="12" t="s">
        <v>251</v>
      </c>
      <c r="G136" s="103" t="s">
        <v>204</v>
      </c>
      <c r="H136" s="103" t="s">
        <v>8</v>
      </c>
      <c r="I136" s="103">
        <v>1</v>
      </c>
      <c r="J136" s="103">
        <f>IFERROR(VLOOKUP(Table139159[[#This Row],[WORK ORDER]], '1. BUILDING ASSET INVENTORY'!A:K, 10, FALSE),0)</f>
        <v>0</v>
      </c>
      <c r="K136" s="102" t="str">
        <f>IFERROR(VLOOKUP(Table139159[[#This Row],[WORK ORDER]], '1. BUILDING ASSET INVENTORY'!A:L, 11, FALSE),"")</f>
        <v>Each</v>
      </c>
      <c r="L136" s="111">
        <v>1</v>
      </c>
      <c r="M136" s="199">
        <v>0.8</v>
      </c>
      <c r="N136" s="111">
        <f>Table139159[[#This Row],[OPERATOR HOURS (BASE)]]+Table139159[[#This Row],[QUANTITY]]*Table139159[[#This Row],[OPERATOR HOURS (PER UNIT)]]</f>
        <v>1</v>
      </c>
      <c r="O136" s="36">
        <f>'TABLE OF CONTENTS'!$K$34</f>
        <v>37.5</v>
      </c>
      <c r="P136" s="36">
        <f>Table139159[[#This Row],[TOTAL OPERATOR HOURS]]*Table139159[[#This Row],[OPERATOR RATE]]</f>
        <v>37.5</v>
      </c>
      <c r="Q136" s="14"/>
      <c r="R136" s="13">
        <v>0</v>
      </c>
      <c r="S136" s="13">
        <v>30</v>
      </c>
      <c r="T136" s="28"/>
      <c r="U136" s="37">
        <f>SUM(Table139159[[#This Row],[OPERATOR COST]:[UTILITIES]])*Table139159[[#This Row],[FREQUENCY   (TIMES PER YEAR)]]</f>
        <v>67.5</v>
      </c>
    </row>
    <row r="137" spans="1:21" x14ac:dyDescent="0.25">
      <c r="A137" s="98" t="str">
        <f>IF(Table139159[[#This Row],[QUANTITY]]&gt;0, "YES", "NO")</f>
        <v>NO</v>
      </c>
      <c r="B137" s="27" t="s">
        <v>770</v>
      </c>
      <c r="C137" s="12" t="s">
        <v>65</v>
      </c>
      <c r="D137" s="12" t="s">
        <v>69</v>
      </c>
      <c r="E137" s="12" t="s">
        <v>26</v>
      </c>
      <c r="F137" s="12" t="s">
        <v>771</v>
      </c>
      <c r="G137" s="103" t="s">
        <v>204</v>
      </c>
      <c r="H137" s="103" t="s">
        <v>8</v>
      </c>
      <c r="I137" s="103">
        <v>1</v>
      </c>
      <c r="J137" s="103">
        <f>IFERROR(VLOOKUP(Table139159[[#This Row],[WORK ORDER]], '1. BUILDING ASSET INVENTORY'!A:K, 10, FALSE),0)</f>
        <v>0</v>
      </c>
      <c r="K137" s="102" t="str">
        <f>IFERROR(VLOOKUP(Table139159[[#This Row],[WORK ORDER]], '1. BUILDING ASSET INVENTORY'!A:L, 11, FALSE),"")</f>
        <v>Each</v>
      </c>
      <c r="L137" s="109">
        <v>1</v>
      </c>
      <c r="M137" s="199">
        <v>0.8</v>
      </c>
      <c r="N137" s="109">
        <f>Table139159[[#This Row],[OPERATOR HOURS (BASE)]]+Table139159[[#This Row],[QUANTITY]]*Table139159[[#This Row],[OPERATOR HOURS (PER UNIT)]]</f>
        <v>1</v>
      </c>
      <c r="O137" s="36">
        <f>'TABLE OF CONTENTS'!$K$34</f>
        <v>37.5</v>
      </c>
      <c r="P137" s="36">
        <f>Table139159[[#This Row],[TOTAL OPERATOR HOURS]]*Table139159[[#This Row],[OPERATOR RATE]]</f>
        <v>37.5</v>
      </c>
      <c r="Q137" s="14">
        <v>0</v>
      </c>
      <c r="R137" s="13">
        <v>0</v>
      </c>
      <c r="S137" s="13">
        <v>30</v>
      </c>
      <c r="T137" s="28"/>
      <c r="U137" s="37">
        <f>SUM(Table139159[[#This Row],[OPERATOR COST]:[UTILITIES]])*Table139159[[#This Row],[FREQUENCY   (TIMES PER YEAR)]]</f>
        <v>67.5</v>
      </c>
    </row>
    <row r="138" spans="1:21" hidden="1" x14ac:dyDescent="0.25">
      <c r="A138" s="98" t="str">
        <f>IF(Table139159[[#This Row],[QUANTITY]]&gt;0, "YES", "NO")</f>
        <v>NO</v>
      </c>
      <c r="B138" s="27" t="s">
        <v>779</v>
      </c>
      <c r="C138" s="12" t="s">
        <v>65</v>
      </c>
      <c r="D138" s="12" t="s">
        <v>69</v>
      </c>
      <c r="E138" s="12" t="s">
        <v>26</v>
      </c>
      <c r="F138" s="12" t="s">
        <v>53</v>
      </c>
      <c r="G138" s="103" t="s">
        <v>15</v>
      </c>
      <c r="H138" s="103" t="s">
        <v>12</v>
      </c>
      <c r="I138" s="103">
        <v>0</v>
      </c>
      <c r="J138" s="103">
        <f>IFERROR(VLOOKUP(Table139159[[#This Row],[WORK ORDER]], '1. BUILDING ASSET INVENTORY'!A:K, 10, FALSE),0)</f>
        <v>0</v>
      </c>
      <c r="K138" s="102" t="str">
        <f>IFERROR(VLOOKUP(Table139159[[#This Row],[WORK ORDER]], '1. BUILDING ASSET INVENTORY'!A:L, 11, FALSE),"")</f>
        <v/>
      </c>
      <c r="L138" s="109"/>
      <c r="M138" s="197"/>
      <c r="N138" s="109">
        <f>Table139159[[#This Row],[OPERATOR HOURS (BASE)]]+Table139159[[#This Row],[QUANTITY]]*Table139159[[#This Row],[OPERATOR HOURS (PER UNIT)]]</f>
        <v>0</v>
      </c>
      <c r="O138" s="36">
        <f>'TABLE OF CONTENTS'!$K$34</f>
        <v>37.5</v>
      </c>
      <c r="P138" s="36">
        <f>Table139159[[#This Row],[TOTAL OPERATOR HOURS]]*Table139159[[#This Row],[OPERATOR RATE]]</f>
        <v>0</v>
      </c>
      <c r="Q138" s="14">
        <v>0</v>
      </c>
      <c r="R138" s="13">
        <v>0</v>
      </c>
      <c r="S138" s="13">
        <v>0</v>
      </c>
      <c r="T138" s="28"/>
      <c r="U138" s="37">
        <f>SUM(Table139159[[#This Row],[OPERATOR COST]:[UTILITIES]])*Table139159[[#This Row],[FREQUENCY   (TIMES PER YEAR)]]</f>
        <v>0</v>
      </c>
    </row>
    <row r="139" spans="1:21" hidden="1" x14ac:dyDescent="0.25">
      <c r="A139" s="98" t="str">
        <f>IF(Table139159[[#This Row],[QUANTITY]]&gt;0, "YES", "NO")</f>
        <v>NO</v>
      </c>
      <c r="B139" s="27" t="s">
        <v>780</v>
      </c>
      <c r="C139" s="12" t="s">
        <v>65</v>
      </c>
      <c r="D139" s="12" t="s">
        <v>69</v>
      </c>
      <c r="E139" s="12" t="s">
        <v>26</v>
      </c>
      <c r="F139" s="12" t="s">
        <v>53</v>
      </c>
      <c r="G139" s="103" t="s">
        <v>15</v>
      </c>
      <c r="H139" s="103" t="s">
        <v>12</v>
      </c>
      <c r="I139" s="103">
        <v>0</v>
      </c>
      <c r="J139" s="103">
        <f>IFERROR(VLOOKUP(Table139159[[#This Row],[WORK ORDER]], '1. BUILDING ASSET INVENTORY'!A:K, 10, FALSE),0)</f>
        <v>0</v>
      </c>
      <c r="K139" s="102" t="str">
        <f>IFERROR(VLOOKUP(Table139159[[#This Row],[WORK ORDER]], '1. BUILDING ASSET INVENTORY'!A:L, 11, FALSE),"")</f>
        <v/>
      </c>
      <c r="L139" s="111"/>
      <c r="M139" s="199"/>
      <c r="N139" s="111">
        <f>Table139159[[#This Row],[OPERATOR HOURS (BASE)]]+Table139159[[#This Row],[QUANTITY]]*Table139159[[#This Row],[OPERATOR HOURS (PER UNIT)]]</f>
        <v>0</v>
      </c>
      <c r="O139" s="36">
        <f>'TABLE OF CONTENTS'!$K$34</f>
        <v>37.5</v>
      </c>
      <c r="P139" s="36">
        <f>Table139159[[#This Row],[TOTAL OPERATOR HOURS]]*Table139159[[#This Row],[OPERATOR RATE]]</f>
        <v>0</v>
      </c>
      <c r="Q139" s="14">
        <v>0</v>
      </c>
      <c r="R139" s="13">
        <v>0</v>
      </c>
      <c r="S139" s="13">
        <v>0</v>
      </c>
      <c r="T139" s="28"/>
      <c r="U139" s="37">
        <f>SUM(Table139159[[#This Row],[OPERATOR COST]:[UTILITIES]])*Table139159[[#This Row],[FREQUENCY   (TIMES PER YEAR)]]</f>
        <v>0</v>
      </c>
    </row>
    <row r="140" spans="1:21" hidden="1" x14ac:dyDescent="0.25">
      <c r="A140" s="98" t="str">
        <f>IF(Table139159[[#This Row],[QUANTITY]]&gt;0, "YES", "NO")</f>
        <v>NO</v>
      </c>
      <c r="B140" s="27" t="s">
        <v>781</v>
      </c>
      <c r="C140" s="12" t="s">
        <v>65</v>
      </c>
      <c r="D140" s="12" t="s">
        <v>69</v>
      </c>
      <c r="E140" s="12" t="s">
        <v>26</v>
      </c>
      <c r="F140" s="12" t="s">
        <v>53</v>
      </c>
      <c r="G140" s="103" t="s">
        <v>15</v>
      </c>
      <c r="H140" s="103" t="s">
        <v>12</v>
      </c>
      <c r="I140" s="103">
        <v>0</v>
      </c>
      <c r="J140" s="103">
        <f>IFERROR(VLOOKUP(Table139159[[#This Row],[WORK ORDER]], '1. BUILDING ASSET INVENTORY'!A:K, 10, FALSE),0)</f>
        <v>0</v>
      </c>
      <c r="K140" s="102" t="str">
        <f>IFERROR(VLOOKUP(Table139159[[#This Row],[WORK ORDER]], '1. BUILDING ASSET INVENTORY'!A:L, 11, FALSE),"")</f>
        <v/>
      </c>
      <c r="L140" s="109"/>
      <c r="M140" s="197"/>
      <c r="N140" s="109">
        <f>Table139159[[#This Row],[OPERATOR HOURS (BASE)]]+Table139159[[#This Row],[QUANTITY]]*Table139159[[#This Row],[OPERATOR HOURS (PER UNIT)]]</f>
        <v>0</v>
      </c>
      <c r="O140" s="36">
        <f>'TABLE OF CONTENTS'!$K$34</f>
        <v>37.5</v>
      </c>
      <c r="P140" s="36">
        <f>Table139159[[#This Row],[TOTAL OPERATOR HOURS]]*Table139159[[#This Row],[OPERATOR RATE]]</f>
        <v>0</v>
      </c>
      <c r="Q140" s="14">
        <v>0</v>
      </c>
      <c r="R140" s="13">
        <v>0</v>
      </c>
      <c r="S140" s="13">
        <v>0</v>
      </c>
      <c r="T140" s="28"/>
      <c r="U140" s="37">
        <f>SUM(Table139159[[#This Row],[OPERATOR COST]:[UTILITIES]])*Table139159[[#This Row],[FREQUENCY   (TIMES PER YEAR)]]</f>
        <v>0</v>
      </c>
    </row>
    <row r="141" spans="1:21" ht="30" x14ac:dyDescent="0.25">
      <c r="A141" s="98" t="str">
        <f>IF(Table139159[[#This Row],[QUANTITY]]&gt;0, "YES", "NO")</f>
        <v>NO</v>
      </c>
      <c r="B141" s="27" t="s">
        <v>769</v>
      </c>
      <c r="C141" s="12" t="s">
        <v>65</v>
      </c>
      <c r="D141" s="12" t="s">
        <v>116</v>
      </c>
      <c r="E141" s="12" t="s">
        <v>86</v>
      </c>
      <c r="F141" s="12" t="s">
        <v>253</v>
      </c>
      <c r="G141" s="103" t="s">
        <v>204</v>
      </c>
      <c r="H141" s="103" t="s">
        <v>8</v>
      </c>
      <c r="I141" s="103">
        <v>1</v>
      </c>
      <c r="J141" s="103">
        <f>IFERROR(VLOOKUP(Table139159[[#This Row],[WORK ORDER]], '1. BUILDING ASSET INVENTORY'!A:K, 10, FALSE),0)</f>
        <v>0</v>
      </c>
      <c r="K141" s="102" t="str">
        <f>IFERROR(VLOOKUP(Table139159[[#This Row],[WORK ORDER]], '1. BUILDING ASSET INVENTORY'!A:L, 11, FALSE),"")</f>
        <v>Each</v>
      </c>
      <c r="L141" s="109">
        <v>1</v>
      </c>
      <c r="M141" s="197">
        <v>2</v>
      </c>
      <c r="N141" s="109">
        <f>Table139159[[#This Row],[OPERATOR HOURS (BASE)]]+Table139159[[#This Row],[QUANTITY]]*Table139159[[#This Row],[OPERATOR HOURS (PER UNIT)]]</f>
        <v>1</v>
      </c>
      <c r="O141" s="36">
        <f>'TABLE OF CONTENTS'!$K$34</f>
        <v>37.5</v>
      </c>
      <c r="P141" s="36">
        <f>Table139159[[#This Row],[TOTAL OPERATOR HOURS]]*Table139159[[#This Row],[OPERATOR RATE]]</f>
        <v>37.5</v>
      </c>
      <c r="Q141" s="15">
        <v>0</v>
      </c>
      <c r="R141" s="13">
        <v>0</v>
      </c>
      <c r="S141" s="13">
        <v>50</v>
      </c>
      <c r="T141" s="28"/>
      <c r="U141" s="37">
        <f>SUM(Table139159[[#This Row],[OPERATOR COST]:[UTILITIES]])*Table139159[[#This Row],[FREQUENCY   (TIMES PER YEAR)]]</f>
        <v>87.5</v>
      </c>
    </row>
    <row r="142" spans="1:21" ht="30" x14ac:dyDescent="0.25">
      <c r="A142" s="98" t="str">
        <f>IF(Table139159[[#This Row],[QUANTITY]]&gt;0, "YES", "NO")</f>
        <v>NO</v>
      </c>
      <c r="B142" s="27" t="s">
        <v>782</v>
      </c>
      <c r="C142" s="12" t="s">
        <v>65</v>
      </c>
      <c r="D142" s="12" t="s">
        <v>116</v>
      </c>
      <c r="E142" s="12" t="s">
        <v>27</v>
      </c>
      <c r="F142" s="12" t="s">
        <v>252</v>
      </c>
      <c r="G142" s="103" t="s">
        <v>204</v>
      </c>
      <c r="H142" s="103" t="s">
        <v>35</v>
      </c>
      <c r="I142" s="103">
        <v>0.2</v>
      </c>
      <c r="J142" s="103">
        <f>IFERROR(VLOOKUP(Table139159[[#This Row],[WORK ORDER]], '1. BUILDING ASSET INVENTORY'!A:K, 10, FALSE),0)</f>
        <v>0</v>
      </c>
      <c r="K142" s="102" t="str">
        <f>IFERROR(VLOOKUP(Table139159[[#This Row],[WORK ORDER]], '1. BUILDING ASSET INVENTORY'!A:L, 11, FALSE),"")</f>
        <v>m</v>
      </c>
      <c r="L142" s="111">
        <v>1</v>
      </c>
      <c r="M142" s="199">
        <v>0.32</v>
      </c>
      <c r="N142" s="111">
        <f>Table139159[[#This Row],[OPERATOR HOURS (BASE)]]+Table139159[[#This Row],[QUANTITY]]*Table139159[[#This Row],[OPERATOR HOURS (PER UNIT)]]</f>
        <v>1</v>
      </c>
      <c r="O142" s="36">
        <f>'TABLE OF CONTENTS'!$K$34</f>
        <v>37.5</v>
      </c>
      <c r="P142" s="36">
        <f>Table139159[[#This Row],[TOTAL OPERATOR HOURS]]*Table139159[[#This Row],[OPERATOR RATE]]</f>
        <v>37.5</v>
      </c>
      <c r="Q142" s="15">
        <v>0</v>
      </c>
      <c r="R142" s="13">
        <v>0</v>
      </c>
      <c r="S142" s="13">
        <v>200</v>
      </c>
      <c r="T142" s="28"/>
      <c r="U142" s="37">
        <f>SUM(Table139159[[#This Row],[OPERATOR COST]:[UTILITIES]])*Table139159[[#This Row],[FREQUENCY   (TIMES PER YEAR)]]</f>
        <v>47.5</v>
      </c>
    </row>
    <row r="143" spans="1:21" ht="30" hidden="1" x14ac:dyDescent="0.25">
      <c r="A143" s="98" t="str">
        <f>IF(Table139159[[#This Row],[QUANTITY]]&gt;0, "YES", "NO")</f>
        <v>NO</v>
      </c>
      <c r="B143" s="27" t="s">
        <v>783</v>
      </c>
      <c r="C143" s="12" t="s">
        <v>65</v>
      </c>
      <c r="D143" s="12" t="s">
        <v>116</v>
      </c>
      <c r="E143" s="12" t="s">
        <v>87</v>
      </c>
      <c r="F143" s="12" t="s">
        <v>53</v>
      </c>
      <c r="G143" s="103" t="s">
        <v>15</v>
      </c>
      <c r="H143" s="103" t="s">
        <v>12</v>
      </c>
      <c r="I143" s="103">
        <v>0</v>
      </c>
      <c r="J143" s="103">
        <f>IFERROR(VLOOKUP(Table139159[[#This Row],[WORK ORDER]], '1. BUILDING ASSET INVENTORY'!A:K, 10, FALSE),0)</f>
        <v>0</v>
      </c>
      <c r="K143" s="102" t="str">
        <f>IFERROR(VLOOKUP(Table139159[[#This Row],[WORK ORDER]], '1. BUILDING ASSET INVENTORY'!A:L, 11, FALSE),"")</f>
        <v/>
      </c>
      <c r="L143" s="109"/>
      <c r="M143" s="197"/>
      <c r="N143" s="109">
        <f>Table139159[[#This Row],[OPERATOR HOURS (BASE)]]+Table139159[[#This Row],[QUANTITY]]*Table139159[[#This Row],[OPERATOR HOURS (PER UNIT)]]</f>
        <v>0</v>
      </c>
      <c r="O143" s="36">
        <f>'TABLE OF CONTENTS'!$K$34</f>
        <v>37.5</v>
      </c>
      <c r="P143" s="36">
        <f>Table139159[[#This Row],[TOTAL OPERATOR HOURS]]*Table139159[[#This Row],[OPERATOR RATE]]</f>
        <v>0</v>
      </c>
      <c r="Q143" s="15">
        <v>0</v>
      </c>
      <c r="R143" s="13">
        <v>0</v>
      </c>
      <c r="S143" s="13">
        <v>0</v>
      </c>
      <c r="T143" s="28"/>
      <c r="U143" s="37">
        <f>SUM(Table139159[[#This Row],[OPERATOR COST]:[UTILITIES]])*Table139159[[#This Row],[FREQUENCY   (TIMES PER YEAR)]]</f>
        <v>0</v>
      </c>
    </row>
    <row r="144" spans="1:21" ht="30" hidden="1" x14ac:dyDescent="0.25">
      <c r="A144" s="98" t="str">
        <f>IF(Table139159[[#This Row],[QUANTITY]]&gt;0, "YES", "NO")</f>
        <v>NO</v>
      </c>
      <c r="B144" s="27" t="s">
        <v>784</v>
      </c>
      <c r="C144" s="12" t="s">
        <v>65</v>
      </c>
      <c r="D144" s="12" t="s">
        <v>116</v>
      </c>
      <c r="E144" s="12" t="s">
        <v>53</v>
      </c>
      <c r="F144" s="12" t="s">
        <v>53</v>
      </c>
      <c r="G144" s="103" t="s">
        <v>15</v>
      </c>
      <c r="H144" s="103" t="s">
        <v>12</v>
      </c>
      <c r="I144" s="103">
        <v>0</v>
      </c>
      <c r="J144" s="103">
        <f>IFERROR(VLOOKUP(Table139159[[#This Row],[WORK ORDER]], '1. BUILDING ASSET INVENTORY'!A:K, 10, FALSE),0)</f>
        <v>0</v>
      </c>
      <c r="K144" s="102" t="str">
        <f>IFERROR(VLOOKUP(Table139159[[#This Row],[WORK ORDER]], '1. BUILDING ASSET INVENTORY'!A:L, 11, FALSE),"")</f>
        <v/>
      </c>
      <c r="L144" s="109"/>
      <c r="M144" s="197"/>
      <c r="N144" s="109">
        <f>Table139159[[#This Row],[OPERATOR HOURS (BASE)]]+Table139159[[#This Row],[QUANTITY]]*Table139159[[#This Row],[OPERATOR HOURS (PER UNIT)]]</f>
        <v>0</v>
      </c>
      <c r="O144" s="36">
        <f>'TABLE OF CONTENTS'!$K$34</f>
        <v>37.5</v>
      </c>
      <c r="P144" s="36">
        <f>Table139159[[#This Row],[TOTAL OPERATOR HOURS]]*Table139159[[#This Row],[OPERATOR RATE]]</f>
        <v>0</v>
      </c>
      <c r="Q144" s="14">
        <v>0</v>
      </c>
      <c r="R144" s="13">
        <v>0</v>
      </c>
      <c r="S144" s="13">
        <v>0</v>
      </c>
      <c r="T144" s="28"/>
      <c r="U144" s="37">
        <f>SUM(Table139159[[#This Row],[OPERATOR COST]:[UTILITIES]])*Table139159[[#This Row],[FREQUENCY   (TIMES PER YEAR)]]</f>
        <v>0</v>
      </c>
    </row>
    <row r="145" spans="1:21" ht="30" hidden="1" x14ac:dyDescent="0.25">
      <c r="A145" s="98" t="str">
        <f>IF(Table139159[[#This Row],[QUANTITY]]&gt;0, "YES", "NO")</f>
        <v>NO</v>
      </c>
      <c r="B145" s="27" t="s">
        <v>785</v>
      </c>
      <c r="C145" s="12" t="s">
        <v>65</v>
      </c>
      <c r="D145" s="12" t="s">
        <v>116</v>
      </c>
      <c r="E145" s="12" t="s">
        <v>53</v>
      </c>
      <c r="F145" s="12" t="s">
        <v>53</v>
      </c>
      <c r="G145" s="103" t="s">
        <v>15</v>
      </c>
      <c r="H145" s="103" t="s">
        <v>12</v>
      </c>
      <c r="I145" s="103">
        <v>0</v>
      </c>
      <c r="J145" s="103">
        <f>IFERROR(VLOOKUP(Table139159[[#This Row],[WORK ORDER]], '1. BUILDING ASSET INVENTORY'!A:K, 10, FALSE),0)</f>
        <v>0</v>
      </c>
      <c r="K145" s="102" t="str">
        <f>IFERROR(VLOOKUP(Table139159[[#This Row],[WORK ORDER]], '1. BUILDING ASSET INVENTORY'!A:L, 11, FALSE),"")</f>
        <v/>
      </c>
      <c r="L145" s="111"/>
      <c r="M145" s="199"/>
      <c r="N145" s="111">
        <f>Table139159[[#This Row],[OPERATOR HOURS (BASE)]]+Table139159[[#This Row],[QUANTITY]]*Table139159[[#This Row],[OPERATOR HOURS (PER UNIT)]]</f>
        <v>0</v>
      </c>
      <c r="O145" s="36">
        <f>'TABLE OF CONTENTS'!$K$34</f>
        <v>37.5</v>
      </c>
      <c r="P145" s="36">
        <f>Table139159[[#This Row],[TOTAL OPERATOR HOURS]]*Table139159[[#This Row],[OPERATOR RATE]]</f>
        <v>0</v>
      </c>
      <c r="Q145" s="14">
        <v>0</v>
      </c>
      <c r="R145" s="13">
        <v>0</v>
      </c>
      <c r="S145" s="13">
        <v>0</v>
      </c>
      <c r="T145" s="28"/>
      <c r="U145" s="37">
        <f>SUM(Table139159[[#This Row],[OPERATOR COST]:[UTILITIES]])*Table139159[[#This Row],[FREQUENCY   (TIMES PER YEAR)]]</f>
        <v>0</v>
      </c>
    </row>
    <row r="146" spans="1:21" ht="30" hidden="1" x14ac:dyDescent="0.25">
      <c r="A146" s="98" t="str">
        <f>IF(Table139159[[#This Row],[QUANTITY]]&gt;0, "YES", "NO")</f>
        <v>NO</v>
      </c>
      <c r="B146" s="27" t="s">
        <v>786</v>
      </c>
      <c r="C146" s="12" t="s">
        <v>65</v>
      </c>
      <c r="D146" s="12" t="s">
        <v>116</v>
      </c>
      <c r="E146" s="12" t="s">
        <v>53</v>
      </c>
      <c r="F146" s="12" t="s">
        <v>53</v>
      </c>
      <c r="G146" s="103" t="s">
        <v>15</v>
      </c>
      <c r="H146" s="103" t="s">
        <v>12</v>
      </c>
      <c r="I146" s="103">
        <v>0</v>
      </c>
      <c r="J146" s="103">
        <f>IFERROR(VLOOKUP(Table139159[[#This Row],[WORK ORDER]], '1. BUILDING ASSET INVENTORY'!A:K, 10, FALSE),0)</f>
        <v>0</v>
      </c>
      <c r="K146" s="102" t="str">
        <f>IFERROR(VLOOKUP(Table139159[[#This Row],[WORK ORDER]], '1. BUILDING ASSET INVENTORY'!A:L, 11, FALSE),"")</f>
        <v/>
      </c>
      <c r="L146" s="109"/>
      <c r="M146" s="197"/>
      <c r="N146" s="109">
        <f>Table139159[[#This Row],[OPERATOR HOURS (BASE)]]+Table139159[[#This Row],[QUANTITY]]*Table139159[[#This Row],[OPERATOR HOURS (PER UNIT)]]</f>
        <v>0</v>
      </c>
      <c r="O146" s="36">
        <f>'TABLE OF CONTENTS'!$K$34</f>
        <v>37.5</v>
      </c>
      <c r="P146" s="36">
        <f>Table139159[[#This Row],[TOTAL OPERATOR HOURS]]*Table139159[[#This Row],[OPERATOR RATE]]</f>
        <v>0</v>
      </c>
      <c r="Q146" s="14">
        <v>0</v>
      </c>
      <c r="R146" s="13">
        <v>0</v>
      </c>
      <c r="S146" s="13">
        <v>0</v>
      </c>
      <c r="T146" s="28"/>
      <c r="U146" s="37">
        <f>SUM(Table139159[[#This Row],[OPERATOR COST]:[UTILITIES]])*Table139159[[#This Row],[FREQUENCY   (TIMES PER YEAR)]]</f>
        <v>0</v>
      </c>
    </row>
    <row r="147" spans="1:21" ht="30" hidden="1" x14ac:dyDescent="0.25">
      <c r="A147" s="98" t="str">
        <f>IF(Table139159[[#This Row],[QUANTITY]]&gt;0, "YES", "NO")</f>
        <v>NO</v>
      </c>
      <c r="B147" s="27" t="s">
        <v>787</v>
      </c>
      <c r="C147" s="12" t="s">
        <v>65</v>
      </c>
      <c r="D147" s="12" t="s">
        <v>85</v>
      </c>
      <c r="E147" s="12" t="s">
        <v>19</v>
      </c>
      <c r="F147" s="12" t="s">
        <v>254</v>
      </c>
      <c r="G147" s="103" t="s">
        <v>217</v>
      </c>
      <c r="H147" s="103" t="s">
        <v>35</v>
      </c>
      <c r="I147" s="103">
        <f>1/5</f>
        <v>0.2</v>
      </c>
      <c r="J147" s="103">
        <f>IFERROR(VLOOKUP(Table139159[[#This Row],[WORK ORDER]], '1. BUILDING ASSET INVENTORY'!A:K, 10, FALSE),0)</f>
        <v>0</v>
      </c>
      <c r="K147" s="102" t="str">
        <f>IFERROR(VLOOKUP(Table139159[[#This Row],[WORK ORDER]], '1. BUILDING ASSET INVENTORY'!A:L, 11, FALSE),"")</f>
        <v>Each</v>
      </c>
      <c r="L147" s="109">
        <v>1</v>
      </c>
      <c r="M147" s="197">
        <v>4</v>
      </c>
      <c r="N147" s="109">
        <f>Table139159[[#This Row],[OPERATOR HOURS (BASE)]]+Table139159[[#This Row],[QUANTITY]]*Table139159[[#This Row],[OPERATOR HOURS (PER UNIT)]]</f>
        <v>1</v>
      </c>
      <c r="O147" s="36">
        <f>'TABLE OF CONTENTS'!$K$34</f>
        <v>37.5</v>
      </c>
      <c r="P147" s="36">
        <f>Table139159[[#This Row],[TOTAL OPERATOR HOURS]]*Table139159[[#This Row],[OPERATOR RATE]]</f>
        <v>37.5</v>
      </c>
      <c r="Q147" s="15">
        <v>2500</v>
      </c>
      <c r="R147" s="13">
        <v>0</v>
      </c>
      <c r="S147" s="13">
        <v>0</v>
      </c>
      <c r="T147" s="28"/>
      <c r="U147" s="37">
        <f>SUM(Table139159[[#This Row],[OPERATOR COST]:[UTILITIES]])*Table139159[[#This Row],[FREQUENCY   (TIMES PER YEAR)]]</f>
        <v>507.5</v>
      </c>
    </row>
    <row r="148" spans="1:21" ht="30" x14ac:dyDescent="0.25">
      <c r="A148" s="98" t="str">
        <f>IF(Table139159[[#This Row],[QUANTITY]]&gt;0, "YES", "NO")</f>
        <v>NO</v>
      </c>
      <c r="B148" s="27" t="s">
        <v>788</v>
      </c>
      <c r="C148" s="12" t="s">
        <v>65</v>
      </c>
      <c r="D148" s="12" t="s">
        <v>85</v>
      </c>
      <c r="E148" s="12" t="s">
        <v>27</v>
      </c>
      <c r="F148" s="12" t="s">
        <v>363</v>
      </c>
      <c r="G148" s="103" t="s">
        <v>204</v>
      </c>
      <c r="H148" s="103" t="s">
        <v>35</v>
      </c>
      <c r="I148" s="103">
        <v>0.2</v>
      </c>
      <c r="J148" s="103">
        <f>IFERROR(VLOOKUP(Table139159[[#This Row],[WORK ORDER]], '1. BUILDING ASSET INVENTORY'!A:K, 10, FALSE),0)</f>
        <v>0</v>
      </c>
      <c r="K148" s="102" t="str">
        <f>IFERROR(VLOOKUP(Table139159[[#This Row],[WORK ORDER]], '1. BUILDING ASSET INVENTORY'!A:L, 11, FALSE),"")</f>
        <v>m</v>
      </c>
      <c r="L148" s="111">
        <v>1</v>
      </c>
      <c r="M148" s="199">
        <v>0.32</v>
      </c>
      <c r="N148" s="111">
        <f>Table139159[[#This Row],[OPERATOR HOURS (BASE)]]+Table139159[[#This Row],[QUANTITY]]*Table139159[[#This Row],[OPERATOR HOURS (PER UNIT)]]</f>
        <v>1</v>
      </c>
      <c r="O148" s="36">
        <f>'TABLE OF CONTENTS'!$K$34</f>
        <v>37.5</v>
      </c>
      <c r="P148" s="36">
        <f>Table139159[[#This Row],[TOTAL OPERATOR HOURS]]*Table139159[[#This Row],[OPERATOR RATE]]</f>
        <v>37.5</v>
      </c>
      <c r="Q148" s="15">
        <v>0</v>
      </c>
      <c r="R148" s="13">
        <v>0</v>
      </c>
      <c r="S148" s="13">
        <v>200</v>
      </c>
      <c r="T148" s="28"/>
      <c r="U148" s="37">
        <f>SUM(Table139159[[#This Row],[OPERATOR COST]:[UTILITIES]])*Table139159[[#This Row],[FREQUENCY   (TIMES PER YEAR)]]</f>
        <v>47.5</v>
      </c>
    </row>
    <row r="149" spans="1:21" hidden="1" x14ac:dyDescent="0.25">
      <c r="A149" s="98" t="str">
        <f>IF(Table139159[[#This Row],[QUANTITY]]&gt;0, "YES", "NO")</f>
        <v>NO</v>
      </c>
      <c r="B149" s="27" t="s">
        <v>983</v>
      </c>
      <c r="C149" s="12" t="s">
        <v>65</v>
      </c>
      <c r="D149" s="12" t="s">
        <v>85</v>
      </c>
      <c r="E149" s="12" t="s">
        <v>53</v>
      </c>
      <c r="F149" s="12" t="s">
        <v>53</v>
      </c>
      <c r="G149" s="103" t="s">
        <v>15</v>
      </c>
      <c r="H149" s="103" t="s">
        <v>12</v>
      </c>
      <c r="I149" s="103">
        <v>0</v>
      </c>
      <c r="J149" s="103">
        <f>IFERROR(VLOOKUP(Table139159[[#This Row],[WORK ORDER]], '1. BUILDING ASSET INVENTORY'!A:K, 10, FALSE),0)</f>
        <v>0</v>
      </c>
      <c r="K149" s="102" t="str">
        <f>IFERROR(VLOOKUP(Table139159[[#This Row],[WORK ORDER]], '1. BUILDING ASSET INVENTORY'!A:L, 11, FALSE),"")</f>
        <v/>
      </c>
      <c r="L149" s="109"/>
      <c r="M149" s="197"/>
      <c r="N149" s="109">
        <f>Table139159[[#This Row],[OPERATOR HOURS (BASE)]]+Table139159[[#This Row],[QUANTITY]]*Table139159[[#This Row],[OPERATOR HOURS (PER UNIT)]]</f>
        <v>0</v>
      </c>
      <c r="O149" s="36">
        <f>'TABLE OF CONTENTS'!$K$34</f>
        <v>37.5</v>
      </c>
      <c r="P149" s="36">
        <f>Table139159[[#This Row],[TOTAL OPERATOR HOURS]]*Table139159[[#This Row],[OPERATOR RATE]]</f>
        <v>0</v>
      </c>
      <c r="Q149" s="15">
        <v>0</v>
      </c>
      <c r="R149" s="13">
        <v>0</v>
      </c>
      <c r="S149" s="13">
        <v>0</v>
      </c>
      <c r="T149" s="28"/>
      <c r="U149" s="37">
        <f>SUM(Table139159[[#This Row],[OPERATOR COST]:[UTILITIES]])*Table139159[[#This Row],[FREQUENCY   (TIMES PER YEAR)]]</f>
        <v>0</v>
      </c>
    </row>
    <row r="150" spans="1:21" hidden="1" x14ac:dyDescent="0.25">
      <c r="A150" s="98" t="str">
        <f>IF(Table139159[[#This Row],[QUANTITY]]&gt;0, "YES", "NO")</f>
        <v>NO</v>
      </c>
      <c r="B150" s="27" t="s">
        <v>982</v>
      </c>
      <c r="C150" s="12" t="s">
        <v>65</v>
      </c>
      <c r="D150" s="12" t="s">
        <v>85</v>
      </c>
      <c r="E150" s="12" t="s">
        <v>53</v>
      </c>
      <c r="F150" s="12" t="s">
        <v>53</v>
      </c>
      <c r="G150" s="103" t="s">
        <v>15</v>
      </c>
      <c r="H150" s="103" t="s">
        <v>12</v>
      </c>
      <c r="I150" s="103">
        <v>0</v>
      </c>
      <c r="J150" s="103">
        <f>IFERROR(VLOOKUP(Table139159[[#This Row],[WORK ORDER]], '1. BUILDING ASSET INVENTORY'!A:K, 10, FALSE),0)</f>
        <v>0</v>
      </c>
      <c r="K150" s="102" t="str">
        <f>IFERROR(VLOOKUP(Table139159[[#This Row],[WORK ORDER]], '1. BUILDING ASSET INVENTORY'!A:L, 11, FALSE),"")</f>
        <v/>
      </c>
      <c r="L150" s="109"/>
      <c r="M150" s="197"/>
      <c r="N150" s="109">
        <f>Table139159[[#This Row],[OPERATOR HOURS (BASE)]]+Table139159[[#This Row],[QUANTITY]]*Table139159[[#This Row],[OPERATOR HOURS (PER UNIT)]]</f>
        <v>0</v>
      </c>
      <c r="O150" s="36">
        <f>'TABLE OF CONTENTS'!$K$34</f>
        <v>37.5</v>
      </c>
      <c r="P150" s="36">
        <f>Table139159[[#This Row],[TOTAL OPERATOR HOURS]]*Table139159[[#This Row],[OPERATOR RATE]]</f>
        <v>0</v>
      </c>
      <c r="Q150" s="14">
        <v>0</v>
      </c>
      <c r="R150" s="13">
        <v>0</v>
      </c>
      <c r="S150" s="13">
        <v>0</v>
      </c>
      <c r="T150" s="28"/>
      <c r="U150" s="37">
        <f>SUM(Table139159[[#This Row],[OPERATOR COST]:[UTILITIES]])*Table139159[[#This Row],[FREQUENCY   (TIMES PER YEAR)]]</f>
        <v>0</v>
      </c>
    </row>
    <row r="151" spans="1:21" hidden="1" x14ac:dyDescent="0.25">
      <c r="A151" s="98" t="str">
        <f>IF(Table139159[[#This Row],[QUANTITY]]&gt;0, "YES", "NO")</f>
        <v>NO</v>
      </c>
      <c r="B151" s="27" t="s">
        <v>861</v>
      </c>
      <c r="C151" s="12" t="s">
        <v>28</v>
      </c>
      <c r="D151" s="12" t="s">
        <v>70</v>
      </c>
      <c r="E151" s="12" t="s">
        <v>88</v>
      </c>
      <c r="F151" s="12" t="s">
        <v>255</v>
      </c>
      <c r="G151" s="103" t="s">
        <v>217</v>
      </c>
      <c r="H151" s="103" t="s">
        <v>256</v>
      </c>
      <c r="I151" s="103">
        <f>1/40</f>
        <v>2.5000000000000001E-2</v>
      </c>
      <c r="J151" s="103">
        <f>IFERROR(VLOOKUP(Table139159[[#This Row],[WORK ORDER]], '1. BUILDING ASSET INVENTORY'!A:K, 10, FALSE),0)</f>
        <v>0</v>
      </c>
      <c r="K151" s="102" t="str">
        <f>IFERROR(VLOOKUP(Table139159[[#This Row],[WORK ORDER]], '1. BUILDING ASSET INVENTORY'!A:L, 11, FALSE),"")</f>
        <v xml:space="preserve">m² </v>
      </c>
      <c r="L151" s="109">
        <v>1</v>
      </c>
      <c r="M151" s="197">
        <v>3.2000000000000001E-2</v>
      </c>
      <c r="N151" s="109">
        <f>Table139159[[#This Row],[OPERATOR HOURS (BASE)]]+Table139159[[#This Row],[QUANTITY]]*Table139159[[#This Row],[OPERATOR HOURS (PER UNIT)]]</f>
        <v>1</v>
      </c>
      <c r="O151" s="36">
        <f>'TABLE OF CONTENTS'!$K$34</f>
        <v>37.5</v>
      </c>
      <c r="P151" s="36">
        <f>Table139159[[#This Row],[TOTAL OPERATOR HOURS]]*Table139159[[#This Row],[OPERATOR RATE]]</f>
        <v>37.5</v>
      </c>
      <c r="Q151" s="14">
        <f>PRODUCT(Table139159[[#This Row],[QUANTITY]],150)</f>
        <v>0</v>
      </c>
      <c r="R151" s="13">
        <v>0</v>
      </c>
      <c r="S151" s="13">
        <v>500</v>
      </c>
      <c r="T151" s="28"/>
      <c r="U151" s="37">
        <f>SUM(Table139159[[#This Row],[OPERATOR COST]:[UTILITIES]])*Table139159[[#This Row],[FREQUENCY   (TIMES PER YEAR)]]</f>
        <v>13.4375</v>
      </c>
    </row>
    <row r="152" spans="1:21" x14ac:dyDescent="0.25">
      <c r="A152" s="98" t="str">
        <f>IF(Table139159[[#This Row],[QUANTITY]]&gt;0, "YES", "NO")</f>
        <v>NO</v>
      </c>
      <c r="B152" s="27" t="s">
        <v>830</v>
      </c>
      <c r="C152" s="12" t="s">
        <v>28</v>
      </c>
      <c r="D152" s="12" t="s">
        <v>70</v>
      </c>
      <c r="E152" s="12" t="s">
        <v>88</v>
      </c>
      <c r="F152" s="12" t="s">
        <v>261</v>
      </c>
      <c r="G152" s="103" t="s">
        <v>204</v>
      </c>
      <c r="H152" s="103" t="s">
        <v>13</v>
      </c>
      <c r="I152" s="103">
        <v>2</v>
      </c>
      <c r="J152" s="103">
        <f>IFERROR(VLOOKUP(Table139159[[#This Row],[WORK ORDER]], '1. BUILDING ASSET INVENTORY'!A:K, 10, FALSE),0)</f>
        <v>0</v>
      </c>
      <c r="K152" s="102" t="str">
        <f>IFERROR(VLOOKUP(Table139159[[#This Row],[WORK ORDER]], '1. BUILDING ASSET INVENTORY'!A:L, 11, FALSE),"")</f>
        <v xml:space="preserve">m² </v>
      </c>
      <c r="L152" s="109">
        <v>1</v>
      </c>
      <c r="M152" s="197">
        <v>4.0000000000000001E-3</v>
      </c>
      <c r="N152" s="109">
        <f>Table139159[[#This Row],[OPERATOR HOURS (BASE)]]+Table139159[[#This Row],[QUANTITY]]*Table139159[[#This Row],[OPERATOR HOURS (PER UNIT)]]</f>
        <v>1</v>
      </c>
      <c r="O152" s="36">
        <f>'TABLE OF CONTENTS'!$K$34</f>
        <v>37.5</v>
      </c>
      <c r="P152" s="36">
        <f>Table139159[[#This Row],[TOTAL OPERATOR HOURS]]*Table139159[[#This Row],[OPERATOR RATE]]</f>
        <v>37.5</v>
      </c>
      <c r="Q152" s="15">
        <v>0</v>
      </c>
      <c r="R152" s="13">
        <v>0</v>
      </c>
      <c r="S152" s="13">
        <v>0</v>
      </c>
      <c r="T152" s="28"/>
      <c r="U152" s="37">
        <f>SUM(Table139159[[#This Row],[OPERATOR COST]:[UTILITIES]])*Table139159[[#This Row],[FREQUENCY   (TIMES PER YEAR)]]</f>
        <v>75</v>
      </c>
    </row>
    <row r="153" spans="1:21" x14ac:dyDescent="0.25">
      <c r="A153" s="98" t="str">
        <f>IF(Table139159[[#This Row],[QUANTITY]]&gt;0, "YES", "NO")</f>
        <v>NO</v>
      </c>
      <c r="B153" s="27" t="s">
        <v>831</v>
      </c>
      <c r="C153" s="12" t="s">
        <v>28</v>
      </c>
      <c r="D153" s="12" t="s">
        <v>70</v>
      </c>
      <c r="E153" s="12" t="s">
        <v>88</v>
      </c>
      <c r="F153" s="12" t="s">
        <v>262</v>
      </c>
      <c r="G153" s="103" t="s">
        <v>204</v>
      </c>
      <c r="H153" s="103" t="s">
        <v>12</v>
      </c>
      <c r="I153" s="103">
        <v>1</v>
      </c>
      <c r="J153" s="103">
        <f>IFERROR(VLOOKUP(Table139159[[#This Row],[WORK ORDER]], '1. BUILDING ASSET INVENTORY'!A:K, 10, FALSE),0)</f>
        <v>0</v>
      </c>
      <c r="K153" s="102" t="str">
        <f>IFERROR(VLOOKUP(Table139159[[#This Row],[WORK ORDER]], '1. BUILDING ASSET INVENTORY'!A:L, 11, FALSE),"")</f>
        <v>Each</v>
      </c>
      <c r="L153" s="109">
        <v>1</v>
      </c>
      <c r="M153" s="197">
        <v>4.0000000000000001E-3</v>
      </c>
      <c r="N153" s="109">
        <f>Table139159[[#This Row],[OPERATOR HOURS (BASE)]]+Table139159[[#This Row],[QUANTITY]]*Table139159[[#This Row],[OPERATOR HOURS (PER UNIT)]]</f>
        <v>1</v>
      </c>
      <c r="O153" s="36">
        <f>'TABLE OF CONTENTS'!$K$34</f>
        <v>37.5</v>
      </c>
      <c r="P153" s="36">
        <f>Table139159[[#This Row],[TOTAL OPERATOR HOURS]]*Table139159[[#This Row],[OPERATOR RATE]]</f>
        <v>37.5</v>
      </c>
      <c r="Q153" s="14">
        <f>PRODUCT(Table139159[[#This Row],[QUANTITY]],500)</f>
        <v>0</v>
      </c>
      <c r="R153" s="13">
        <v>0</v>
      </c>
      <c r="S153" s="13">
        <v>50</v>
      </c>
      <c r="T153" s="28"/>
      <c r="U153" s="37">
        <f>SUM(Table139159[[#This Row],[OPERATOR COST]:[UTILITIES]])*Table139159[[#This Row],[FREQUENCY   (TIMES PER YEAR)]]</f>
        <v>87.5</v>
      </c>
    </row>
    <row r="154" spans="1:21" hidden="1" x14ac:dyDescent="0.25">
      <c r="A154" s="98" t="str">
        <f>IF(Table139159[[#This Row],[QUANTITY]]&gt;0, "YES", "NO")</f>
        <v>NO</v>
      </c>
      <c r="B154" s="42" t="s">
        <v>981</v>
      </c>
      <c r="C154" s="17" t="s">
        <v>28</v>
      </c>
      <c r="D154" s="17" t="s">
        <v>70</v>
      </c>
      <c r="E154" s="17" t="s">
        <v>53</v>
      </c>
      <c r="F154" s="17" t="s">
        <v>53</v>
      </c>
      <c r="G154" s="107" t="s">
        <v>15</v>
      </c>
      <c r="H154" s="107" t="s">
        <v>12</v>
      </c>
      <c r="I154" s="107">
        <v>0</v>
      </c>
      <c r="J154" s="107">
        <f>IFERROR(VLOOKUP(Table139159[[#This Row],[WORK ORDER]], '1. BUILDING ASSET INVENTORY'!A:K, 10, FALSE),0)</f>
        <v>0</v>
      </c>
      <c r="K154" s="102" t="str">
        <f>IFERROR(VLOOKUP(Table139159[[#This Row],[WORK ORDER]], '1. BUILDING ASSET INVENTORY'!A:L, 11, FALSE),"")</f>
        <v/>
      </c>
      <c r="L154" s="111"/>
      <c r="M154" s="199"/>
      <c r="N154" s="111">
        <f>Table139159[[#This Row],[OPERATOR HOURS (BASE)]]+Table139159[[#This Row],[QUANTITY]]*Table139159[[#This Row],[OPERATOR HOURS (PER UNIT)]]</f>
        <v>0</v>
      </c>
      <c r="O154" s="36">
        <f>'TABLE OF CONTENTS'!$K$34</f>
        <v>37.5</v>
      </c>
      <c r="P154" s="36">
        <f>Table139159[[#This Row],[TOTAL OPERATOR HOURS]]*Table139159[[#This Row],[OPERATOR RATE]]</f>
        <v>0</v>
      </c>
      <c r="Q154" s="43">
        <v>0</v>
      </c>
      <c r="R154" s="19">
        <v>0</v>
      </c>
      <c r="S154" s="19">
        <v>0</v>
      </c>
      <c r="T154" s="31"/>
      <c r="U154" s="37">
        <f>SUM(Table139159[[#This Row],[OPERATOR COST]:[UTILITIES]])*Table139159[[#This Row],[FREQUENCY   (TIMES PER YEAR)]]</f>
        <v>0</v>
      </c>
    </row>
    <row r="155" spans="1:21" hidden="1" x14ac:dyDescent="0.25">
      <c r="A155" s="98" t="str">
        <f>IF(Table139159[[#This Row],[QUANTITY]]&gt;0, "YES", "NO")</f>
        <v>NO</v>
      </c>
      <c r="B155" s="27" t="s">
        <v>980</v>
      </c>
      <c r="C155" s="12" t="s">
        <v>28</v>
      </c>
      <c r="D155" s="12" t="s">
        <v>70</v>
      </c>
      <c r="E155" s="12" t="s">
        <v>53</v>
      </c>
      <c r="F155" s="12" t="s">
        <v>53</v>
      </c>
      <c r="G155" s="103" t="s">
        <v>15</v>
      </c>
      <c r="H155" s="103" t="s">
        <v>12</v>
      </c>
      <c r="I155" s="103">
        <v>0</v>
      </c>
      <c r="J155" s="103">
        <f>IFERROR(VLOOKUP(Table139159[[#This Row],[WORK ORDER]], '1. BUILDING ASSET INVENTORY'!A:K, 10, FALSE),0)</f>
        <v>0</v>
      </c>
      <c r="K155" s="102" t="str">
        <f>IFERROR(VLOOKUP(Table139159[[#This Row],[WORK ORDER]], '1. BUILDING ASSET INVENTORY'!A:L, 11, FALSE),"")</f>
        <v/>
      </c>
      <c r="L155" s="109"/>
      <c r="M155" s="197"/>
      <c r="N155" s="109">
        <f>Table139159[[#This Row],[OPERATOR HOURS (BASE)]]+Table139159[[#This Row],[QUANTITY]]*Table139159[[#This Row],[OPERATOR HOURS (PER UNIT)]]</f>
        <v>0</v>
      </c>
      <c r="O155" s="36">
        <f>'TABLE OF CONTENTS'!$K$34</f>
        <v>37.5</v>
      </c>
      <c r="P155" s="36">
        <f>Table139159[[#This Row],[TOTAL OPERATOR HOURS]]*Table139159[[#This Row],[OPERATOR RATE]]</f>
        <v>0</v>
      </c>
      <c r="Q155" s="15">
        <v>0</v>
      </c>
      <c r="R155" s="13">
        <v>0</v>
      </c>
      <c r="S155" s="13">
        <v>0</v>
      </c>
      <c r="T155" s="28"/>
      <c r="U155" s="37">
        <f>SUM(Table139159[[#This Row],[OPERATOR COST]:[UTILITIES]])*Table139159[[#This Row],[FREQUENCY   (TIMES PER YEAR)]]</f>
        <v>0</v>
      </c>
    </row>
    <row r="156" spans="1:21" hidden="1" x14ac:dyDescent="0.25">
      <c r="A156" s="98" t="str">
        <f>IF(Table139159[[#This Row],[QUANTITY]]&gt;0, "YES", "NO")</f>
        <v>NO</v>
      </c>
      <c r="B156" s="41" t="s">
        <v>979</v>
      </c>
      <c r="C156" s="20" t="s">
        <v>28</v>
      </c>
      <c r="D156" s="20" t="s">
        <v>70</v>
      </c>
      <c r="E156" s="20" t="s">
        <v>53</v>
      </c>
      <c r="F156" s="20" t="s">
        <v>53</v>
      </c>
      <c r="G156" s="105" t="s">
        <v>15</v>
      </c>
      <c r="H156" s="105" t="s">
        <v>12</v>
      </c>
      <c r="I156" s="105">
        <v>0</v>
      </c>
      <c r="J156" s="105">
        <f>IFERROR(VLOOKUP(Table139159[[#This Row],[WORK ORDER]], '1. BUILDING ASSET INVENTORY'!A:K, 10, FALSE),0)</f>
        <v>0</v>
      </c>
      <c r="K156" s="102" t="str">
        <f>IFERROR(VLOOKUP(Table139159[[#This Row],[WORK ORDER]], '1. BUILDING ASSET INVENTORY'!A:L, 11, FALSE),"")</f>
        <v/>
      </c>
      <c r="L156" s="110"/>
      <c r="M156" s="198"/>
      <c r="N156" s="110">
        <f>Table139159[[#This Row],[OPERATOR HOURS (BASE)]]+Table139159[[#This Row],[QUANTITY]]*Table139159[[#This Row],[OPERATOR HOURS (PER UNIT)]]</f>
        <v>0</v>
      </c>
      <c r="O156" s="36">
        <f>'TABLE OF CONTENTS'!$K$34</f>
        <v>37.5</v>
      </c>
      <c r="P156" s="36">
        <f>Table139159[[#This Row],[TOTAL OPERATOR HOURS]]*Table139159[[#This Row],[OPERATOR RATE]]</f>
        <v>0</v>
      </c>
      <c r="Q156" s="44">
        <v>0</v>
      </c>
      <c r="R156" s="22">
        <v>0</v>
      </c>
      <c r="S156" s="22">
        <v>0</v>
      </c>
      <c r="T156" s="32"/>
      <c r="U156" s="37">
        <f>SUM(Table139159[[#This Row],[OPERATOR COST]:[UTILITIES]])*Table139159[[#This Row],[FREQUENCY   (TIMES PER YEAR)]]</f>
        <v>0</v>
      </c>
    </row>
    <row r="157" spans="1:21" x14ac:dyDescent="0.25">
      <c r="A157" s="98" t="str">
        <f>IF(Table139159[[#This Row],[QUANTITY]]&gt;0, "YES", "NO")</f>
        <v>NO</v>
      </c>
      <c r="B157" s="27" t="s">
        <v>832</v>
      </c>
      <c r="C157" s="12" t="s">
        <v>28</v>
      </c>
      <c r="D157" s="12" t="s">
        <v>71</v>
      </c>
      <c r="E157" s="12" t="s">
        <v>89</v>
      </c>
      <c r="F157" s="12" t="s">
        <v>266</v>
      </c>
      <c r="G157" s="103" t="s">
        <v>204</v>
      </c>
      <c r="H157" s="103" t="s">
        <v>12</v>
      </c>
      <c r="I157" s="103">
        <v>3</v>
      </c>
      <c r="J157" s="103">
        <f>IFERROR(VLOOKUP(Table139159[[#This Row],[WORK ORDER]], '1. BUILDING ASSET INVENTORY'!A:K, 10, FALSE),0)</f>
        <v>0</v>
      </c>
      <c r="K157" s="102" t="str">
        <f>IFERROR(VLOOKUP(Table139159[[#This Row],[WORK ORDER]], '1. BUILDING ASSET INVENTORY'!A:L, 11, FALSE),"")</f>
        <v>Each</v>
      </c>
      <c r="L157" s="109">
        <v>1</v>
      </c>
      <c r="M157" s="197">
        <v>8</v>
      </c>
      <c r="N157" s="109">
        <f>Table139159[[#This Row],[OPERATOR HOURS (BASE)]]+Table139159[[#This Row],[QUANTITY]]*Table139159[[#This Row],[OPERATOR HOURS (PER UNIT)]]</f>
        <v>1</v>
      </c>
      <c r="O157" s="36">
        <f>'TABLE OF CONTENTS'!$K$34</f>
        <v>37.5</v>
      </c>
      <c r="P157" s="36">
        <f>Table139159[[#This Row],[TOTAL OPERATOR HOURS]]*Table139159[[#This Row],[OPERATOR RATE]]</f>
        <v>37.5</v>
      </c>
      <c r="Q157" s="15"/>
      <c r="R157" s="13">
        <v>0</v>
      </c>
      <c r="S157" s="13">
        <v>100</v>
      </c>
      <c r="T157" s="28"/>
      <c r="U157" s="37">
        <f>SUM(Table139159[[#This Row],[OPERATOR COST]:[UTILITIES]])*Table139159[[#This Row],[FREQUENCY   (TIMES PER YEAR)]]</f>
        <v>412.5</v>
      </c>
    </row>
    <row r="158" spans="1:21" hidden="1" x14ac:dyDescent="0.25">
      <c r="A158" s="98" t="str">
        <f>IF(Table139159[[#This Row],[QUANTITY]]&gt;0, "YES", "NO")</f>
        <v>NO</v>
      </c>
      <c r="B158" s="27" t="s">
        <v>978</v>
      </c>
      <c r="C158" s="12" t="s">
        <v>28</v>
      </c>
      <c r="D158" s="12" t="s">
        <v>71</v>
      </c>
      <c r="E158" s="12" t="s">
        <v>53</v>
      </c>
      <c r="F158" s="12" t="s">
        <v>53</v>
      </c>
      <c r="G158" s="103" t="s">
        <v>15</v>
      </c>
      <c r="H158" s="103" t="s">
        <v>12</v>
      </c>
      <c r="I158" s="103">
        <v>0</v>
      </c>
      <c r="J158" s="103">
        <f>IFERROR(VLOOKUP(Table139159[[#This Row],[WORK ORDER]], '1. BUILDING ASSET INVENTORY'!A:K, 10, FALSE),0)</f>
        <v>0</v>
      </c>
      <c r="K158" s="102" t="str">
        <f>IFERROR(VLOOKUP(Table139159[[#This Row],[WORK ORDER]], '1. BUILDING ASSET INVENTORY'!A:L, 11, FALSE),"")</f>
        <v/>
      </c>
      <c r="L158" s="109"/>
      <c r="M158" s="197"/>
      <c r="N158" s="109">
        <f>Table139159[[#This Row],[OPERATOR HOURS (BASE)]]+Table139159[[#This Row],[QUANTITY]]*Table139159[[#This Row],[OPERATOR HOURS (PER UNIT)]]</f>
        <v>0</v>
      </c>
      <c r="O158" s="36">
        <f>'TABLE OF CONTENTS'!$K$34</f>
        <v>37.5</v>
      </c>
      <c r="P158" s="36">
        <f>Table139159[[#This Row],[TOTAL OPERATOR HOURS]]*Table139159[[#This Row],[OPERATOR RATE]]</f>
        <v>0</v>
      </c>
      <c r="Q158" s="15">
        <v>0</v>
      </c>
      <c r="R158" s="13">
        <v>0</v>
      </c>
      <c r="S158" s="13">
        <v>0</v>
      </c>
      <c r="T158" s="28"/>
      <c r="U158" s="37">
        <f>SUM(Table139159[[#This Row],[OPERATOR COST]:[UTILITIES]])*Table139159[[#This Row],[FREQUENCY   (TIMES PER YEAR)]]</f>
        <v>0</v>
      </c>
    </row>
    <row r="159" spans="1:21" hidden="1" x14ac:dyDescent="0.25">
      <c r="A159" s="98" t="str">
        <f>IF(Table139159[[#This Row],[QUANTITY]]&gt;0, "YES", "NO")</f>
        <v>NO</v>
      </c>
      <c r="B159" s="27" t="s">
        <v>977</v>
      </c>
      <c r="C159" s="12" t="s">
        <v>28</v>
      </c>
      <c r="D159" s="12" t="s">
        <v>71</v>
      </c>
      <c r="E159" s="12" t="s">
        <v>53</v>
      </c>
      <c r="F159" s="12" t="s">
        <v>53</v>
      </c>
      <c r="G159" s="103" t="s">
        <v>15</v>
      </c>
      <c r="H159" s="103" t="s">
        <v>12</v>
      </c>
      <c r="I159" s="103">
        <v>0</v>
      </c>
      <c r="J159" s="103">
        <f>IFERROR(VLOOKUP(Table139159[[#This Row],[WORK ORDER]], '1. BUILDING ASSET INVENTORY'!A:K, 10, FALSE),0)</f>
        <v>0</v>
      </c>
      <c r="K159" s="102" t="str">
        <f>IFERROR(VLOOKUP(Table139159[[#This Row],[WORK ORDER]], '1. BUILDING ASSET INVENTORY'!A:L, 11, FALSE),"")</f>
        <v/>
      </c>
      <c r="L159" s="109"/>
      <c r="M159" s="197"/>
      <c r="N159" s="109">
        <f>Table139159[[#This Row],[OPERATOR HOURS (BASE)]]+Table139159[[#This Row],[QUANTITY]]*Table139159[[#This Row],[OPERATOR HOURS (PER UNIT)]]</f>
        <v>0</v>
      </c>
      <c r="O159" s="36">
        <f>'TABLE OF CONTENTS'!$K$34</f>
        <v>37.5</v>
      </c>
      <c r="P159" s="36">
        <f>Table139159[[#This Row],[TOTAL OPERATOR HOURS]]*Table139159[[#This Row],[OPERATOR RATE]]</f>
        <v>0</v>
      </c>
      <c r="Q159" s="14">
        <v>0</v>
      </c>
      <c r="R159" s="13">
        <v>0</v>
      </c>
      <c r="S159" s="13">
        <v>0</v>
      </c>
      <c r="T159" s="28"/>
      <c r="U159" s="37">
        <f>SUM(Table139159[[#This Row],[OPERATOR COST]:[UTILITIES]])*Table139159[[#This Row],[FREQUENCY   (TIMES PER YEAR)]]</f>
        <v>0</v>
      </c>
    </row>
    <row r="160" spans="1:21" hidden="1" x14ac:dyDescent="0.25">
      <c r="A160" s="98" t="str">
        <f>IF(Table139159[[#This Row],[QUANTITY]]&gt;0, "YES", "NO")</f>
        <v>NO</v>
      </c>
      <c r="B160" s="27" t="s">
        <v>976</v>
      </c>
      <c r="C160" s="12" t="s">
        <v>28</v>
      </c>
      <c r="D160" s="12" t="s">
        <v>71</v>
      </c>
      <c r="E160" s="12" t="s">
        <v>53</v>
      </c>
      <c r="F160" s="12" t="s">
        <v>53</v>
      </c>
      <c r="G160" s="103" t="s">
        <v>15</v>
      </c>
      <c r="H160" s="103" t="s">
        <v>12</v>
      </c>
      <c r="I160" s="103">
        <v>0</v>
      </c>
      <c r="J160" s="103">
        <f>IFERROR(VLOOKUP(Table139159[[#This Row],[WORK ORDER]], '1. BUILDING ASSET INVENTORY'!A:K, 10, FALSE),0)</f>
        <v>0</v>
      </c>
      <c r="K160" s="102" t="str">
        <f>IFERROR(VLOOKUP(Table139159[[#This Row],[WORK ORDER]], '1. BUILDING ASSET INVENTORY'!A:L, 11, FALSE),"")</f>
        <v/>
      </c>
      <c r="L160" s="109"/>
      <c r="M160" s="197"/>
      <c r="N160" s="109">
        <f>Table139159[[#This Row],[OPERATOR HOURS (BASE)]]+Table139159[[#This Row],[QUANTITY]]*Table139159[[#This Row],[OPERATOR HOURS (PER UNIT)]]</f>
        <v>0</v>
      </c>
      <c r="O160" s="36">
        <f>'TABLE OF CONTENTS'!$K$34</f>
        <v>37.5</v>
      </c>
      <c r="P160" s="36">
        <f>Table139159[[#This Row],[TOTAL OPERATOR HOURS]]*Table139159[[#This Row],[OPERATOR RATE]]</f>
        <v>0</v>
      </c>
      <c r="Q160" s="14">
        <v>0</v>
      </c>
      <c r="R160" s="13">
        <v>0</v>
      </c>
      <c r="S160" s="13">
        <v>0</v>
      </c>
      <c r="T160" s="28"/>
      <c r="U160" s="37">
        <f>SUM(Table139159[[#This Row],[OPERATOR COST]:[UTILITIES]])*Table139159[[#This Row],[FREQUENCY   (TIMES PER YEAR)]]</f>
        <v>0</v>
      </c>
    </row>
    <row r="161" spans="1:21" hidden="1" x14ac:dyDescent="0.25">
      <c r="A161" s="98" t="str">
        <f>IF(Table139159[[#This Row],[QUANTITY]]&gt;0, "YES", "NO")</f>
        <v>NO</v>
      </c>
      <c r="B161" s="27" t="s">
        <v>975</v>
      </c>
      <c r="C161" s="12" t="s">
        <v>28</v>
      </c>
      <c r="D161" s="12" t="s">
        <v>71</v>
      </c>
      <c r="E161" s="12" t="s">
        <v>53</v>
      </c>
      <c r="F161" s="12" t="s">
        <v>53</v>
      </c>
      <c r="G161" s="103" t="s">
        <v>15</v>
      </c>
      <c r="H161" s="103" t="s">
        <v>12</v>
      </c>
      <c r="I161" s="103">
        <v>0</v>
      </c>
      <c r="J161" s="103">
        <f>IFERROR(VLOOKUP(Table139159[[#This Row],[WORK ORDER]], '1. BUILDING ASSET INVENTORY'!A:K, 10, FALSE),0)</f>
        <v>0</v>
      </c>
      <c r="K161" s="102" t="str">
        <f>IFERROR(VLOOKUP(Table139159[[#This Row],[WORK ORDER]], '1. BUILDING ASSET INVENTORY'!A:L, 11, FALSE),"")</f>
        <v/>
      </c>
      <c r="L161" s="109"/>
      <c r="M161" s="197"/>
      <c r="N161" s="109">
        <f>Table139159[[#This Row],[OPERATOR HOURS (BASE)]]+Table139159[[#This Row],[QUANTITY]]*Table139159[[#This Row],[OPERATOR HOURS (PER UNIT)]]</f>
        <v>0</v>
      </c>
      <c r="O161" s="36">
        <f>'TABLE OF CONTENTS'!$K$34</f>
        <v>37.5</v>
      </c>
      <c r="P161" s="36">
        <f>Table139159[[#This Row],[TOTAL OPERATOR HOURS]]*Table139159[[#This Row],[OPERATOR RATE]]</f>
        <v>0</v>
      </c>
      <c r="Q161" s="14">
        <v>0</v>
      </c>
      <c r="R161" s="13">
        <v>0</v>
      </c>
      <c r="S161" s="13">
        <v>0</v>
      </c>
      <c r="T161" s="28"/>
      <c r="U161" s="37">
        <f>SUM(Table139159[[#This Row],[OPERATOR COST]:[UTILITIES]])*Table139159[[#This Row],[FREQUENCY   (TIMES PER YEAR)]]</f>
        <v>0</v>
      </c>
    </row>
    <row r="162" spans="1:21" hidden="1" x14ac:dyDescent="0.25">
      <c r="A162" s="98" t="str">
        <f>IF(Table139159[[#This Row],[QUANTITY]]&gt;0, "YES", "NO")</f>
        <v>NO</v>
      </c>
      <c r="B162" s="27" t="s">
        <v>974</v>
      </c>
      <c r="C162" s="12" t="s">
        <v>28</v>
      </c>
      <c r="D162" s="12" t="s">
        <v>71</v>
      </c>
      <c r="E162" s="12" t="s">
        <v>53</v>
      </c>
      <c r="F162" s="12" t="s">
        <v>53</v>
      </c>
      <c r="G162" s="103" t="s">
        <v>15</v>
      </c>
      <c r="H162" s="103" t="s">
        <v>12</v>
      </c>
      <c r="I162" s="103">
        <v>0</v>
      </c>
      <c r="J162" s="103">
        <f>IFERROR(VLOOKUP(Table139159[[#This Row],[WORK ORDER]], '1. BUILDING ASSET INVENTORY'!A:K, 10, FALSE),0)</f>
        <v>0</v>
      </c>
      <c r="K162" s="102" t="str">
        <f>IFERROR(VLOOKUP(Table139159[[#This Row],[WORK ORDER]], '1. BUILDING ASSET INVENTORY'!A:L, 11, FALSE),"")</f>
        <v/>
      </c>
      <c r="L162" s="109"/>
      <c r="M162" s="197"/>
      <c r="N162" s="109">
        <f>Table139159[[#This Row],[OPERATOR HOURS (BASE)]]+Table139159[[#This Row],[QUANTITY]]*Table139159[[#This Row],[OPERATOR HOURS (PER UNIT)]]</f>
        <v>0</v>
      </c>
      <c r="O162" s="36">
        <f>'TABLE OF CONTENTS'!$K$34</f>
        <v>37.5</v>
      </c>
      <c r="P162" s="36">
        <f>Table139159[[#This Row],[TOTAL OPERATOR HOURS]]*Table139159[[#This Row],[OPERATOR RATE]]</f>
        <v>0</v>
      </c>
      <c r="Q162" s="14">
        <v>0</v>
      </c>
      <c r="R162" s="13">
        <v>0</v>
      </c>
      <c r="S162" s="13">
        <v>0</v>
      </c>
      <c r="T162" s="28"/>
      <c r="U162" s="37">
        <f>SUM(Table139159[[#This Row],[OPERATOR COST]:[UTILITIES]])*Table139159[[#This Row],[FREQUENCY   (TIMES PER YEAR)]]</f>
        <v>0</v>
      </c>
    </row>
    <row r="163" spans="1:21" x14ac:dyDescent="0.25">
      <c r="A163" s="98" t="str">
        <f>IF(Table139159[[#This Row],[QUANTITY]]&gt;0, "YES", "NO")</f>
        <v>NO</v>
      </c>
      <c r="B163" s="27" t="s">
        <v>833</v>
      </c>
      <c r="C163" s="12" t="s">
        <v>28</v>
      </c>
      <c r="D163" s="12" t="s">
        <v>72</v>
      </c>
      <c r="E163" s="12" t="s">
        <v>90</v>
      </c>
      <c r="F163" s="12" t="s">
        <v>263</v>
      </c>
      <c r="G163" s="103" t="s">
        <v>204</v>
      </c>
      <c r="H163" s="103" t="s">
        <v>12</v>
      </c>
      <c r="I163" s="103">
        <v>1</v>
      </c>
      <c r="J163" s="103">
        <f>IFERROR(VLOOKUP(Table139159[[#This Row],[WORK ORDER]], '1. BUILDING ASSET INVENTORY'!A:K, 10, FALSE),0)</f>
        <v>0</v>
      </c>
      <c r="K163" s="102" t="str">
        <f>IFERROR(VLOOKUP(Table139159[[#This Row],[WORK ORDER]], '1. BUILDING ASSET INVENTORY'!A:L, 11, FALSE),"")</f>
        <v>Each</v>
      </c>
      <c r="L163" s="109">
        <v>1</v>
      </c>
      <c r="M163" s="197">
        <v>4</v>
      </c>
      <c r="N163" s="109">
        <f>Table139159[[#This Row],[OPERATOR HOURS (BASE)]]+Table139159[[#This Row],[QUANTITY]]*Table139159[[#This Row],[OPERATOR HOURS (PER UNIT)]]</f>
        <v>1</v>
      </c>
      <c r="O163" s="36">
        <f>'TABLE OF CONTENTS'!$K$34</f>
        <v>37.5</v>
      </c>
      <c r="P163" s="36">
        <f>Table139159[[#This Row],[TOTAL OPERATOR HOURS]]*Table139159[[#This Row],[OPERATOR RATE]]</f>
        <v>37.5</v>
      </c>
      <c r="Q163" s="14">
        <v>0</v>
      </c>
      <c r="R163" s="13">
        <v>0</v>
      </c>
      <c r="S163" s="13">
        <v>100</v>
      </c>
      <c r="T163" s="28"/>
      <c r="U163" s="37">
        <f>SUM(Table139159[[#This Row],[OPERATOR COST]:[UTILITIES]])*Table139159[[#This Row],[FREQUENCY   (TIMES PER YEAR)]]</f>
        <v>137.5</v>
      </c>
    </row>
    <row r="164" spans="1:21" hidden="1" x14ac:dyDescent="0.25">
      <c r="A164" s="98" t="str">
        <f>IF(Table139159[[#This Row],[QUANTITY]]&gt;0, "YES", "NO")</f>
        <v>NO</v>
      </c>
      <c r="B164" s="27" t="s">
        <v>973</v>
      </c>
      <c r="C164" s="12" t="s">
        <v>28</v>
      </c>
      <c r="D164" s="12" t="s">
        <v>72</v>
      </c>
      <c r="E164" s="12" t="s">
        <v>53</v>
      </c>
      <c r="F164" s="12" t="s">
        <v>53</v>
      </c>
      <c r="G164" s="103" t="s">
        <v>15</v>
      </c>
      <c r="H164" s="103" t="s">
        <v>12</v>
      </c>
      <c r="I164" s="103">
        <v>0</v>
      </c>
      <c r="J164" s="103">
        <f>IFERROR(VLOOKUP(Table139159[[#This Row],[WORK ORDER]], '1. BUILDING ASSET INVENTORY'!A:K, 10, FALSE),0)</f>
        <v>0</v>
      </c>
      <c r="K164" s="102" t="str">
        <f>IFERROR(VLOOKUP(Table139159[[#This Row],[WORK ORDER]], '1. BUILDING ASSET INVENTORY'!A:L, 11, FALSE),"")</f>
        <v/>
      </c>
      <c r="L164" s="109"/>
      <c r="M164" s="197"/>
      <c r="N164" s="109">
        <f>Table139159[[#This Row],[OPERATOR HOURS (BASE)]]+Table139159[[#This Row],[QUANTITY]]*Table139159[[#This Row],[OPERATOR HOURS (PER UNIT)]]</f>
        <v>0</v>
      </c>
      <c r="O164" s="36">
        <f>'TABLE OF CONTENTS'!$K$34</f>
        <v>37.5</v>
      </c>
      <c r="P164" s="36">
        <f>Table139159[[#This Row],[TOTAL OPERATOR HOURS]]*Table139159[[#This Row],[OPERATOR RATE]]</f>
        <v>0</v>
      </c>
      <c r="Q164" s="14">
        <v>0</v>
      </c>
      <c r="R164" s="13">
        <v>0</v>
      </c>
      <c r="S164" s="13">
        <v>0</v>
      </c>
      <c r="T164" s="28"/>
      <c r="U164" s="37">
        <f>SUM(Table139159[[#This Row],[OPERATOR COST]:[UTILITIES]])*Table139159[[#This Row],[FREQUENCY   (TIMES PER YEAR)]]</f>
        <v>0</v>
      </c>
    </row>
    <row r="165" spans="1:21" hidden="1" x14ac:dyDescent="0.25">
      <c r="A165" s="98" t="str">
        <f>IF(Table139159[[#This Row],[QUANTITY]]&gt;0, "YES", "NO")</f>
        <v>NO</v>
      </c>
      <c r="B165" s="27" t="s">
        <v>972</v>
      </c>
      <c r="C165" s="12" t="s">
        <v>28</v>
      </c>
      <c r="D165" s="12" t="s">
        <v>72</v>
      </c>
      <c r="E165" s="12" t="s">
        <v>53</v>
      </c>
      <c r="F165" s="12" t="s">
        <v>53</v>
      </c>
      <c r="G165" s="103" t="s">
        <v>15</v>
      </c>
      <c r="H165" s="103" t="s">
        <v>12</v>
      </c>
      <c r="I165" s="103">
        <v>0</v>
      </c>
      <c r="J165" s="103">
        <f>IFERROR(VLOOKUP(Table139159[[#This Row],[WORK ORDER]], '1. BUILDING ASSET INVENTORY'!A:K, 10, FALSE),0)</f>
        <v>0</v>
      </c>
      <c r="K165" s="102" t="str">
        <f>IFERROR(VLOOKUP(Table139159[[#This Row],[WORK ORDER]], '1. BUILDING ASSET INVENTORY'!A:L, 11, FALSE),"")</f>
        <v/>
      </c>
      <c r="L165" s="109"/>
      <c r="M165" s="197"/>
      <c r="N165" s="109">
        <f>Table139159[[#This Row],[OPERATOR HOURS (BASE)]]+Table139159[[#This Row],[QUANTITY]]*Table139159[[#This Row],[OPERATOR HOURS (PER UNIT)]]</f>
        <v>0</v>
      </c>
      <c r="O165" s="36">
        <f>'TABLE OF CONTENTS'!$K$34</f>
        <v>37.5</v>
      </c>
      <c r="P165" s="36">
        <f>Table139159[[#This Row],[TOTAL OPERATOR HOURS]]*Table139159[[#This Row],[OPERATOR RATE]]</f>
        <v>0</v>
      </c>
      <c r="Q165" s="14">
        <v>0</v>
      </c>
      <c r="R165" s="13">
        <v>0</v>
      </c>
      <c r="S165" s="13">
        <v>0</v>
      </c>
      <c r="T165" s="28"/>
      <c r="U165" s="37">
        <f>SUM(Table139159[[#This Row],[OPERATOR COST]:[UTILITIES]])*Table139159[[#This Row],[FREQUENCY   (TIMES PER YEAR)]]</f>
        <v>0</v>
      </c>
    </row>
    <row r="166" spans="1:21" hidden="1" x14ac:dyDescent="0.25">
      <c r="A166" s="98" t="str">
        <f>IF(Table139159[[#This Row],[QUANTITY]]&gt;0, "YES", "NO")</f>
        <v>NO</v>
      </c>
      <c r="B166" s="27" t="s">
        <v>971</v>
      </c>
      <c r="C166" s="12" t="s">
        <v>28</v>
      </c>
      <c r="D166" s="12" t="s">
        <v>72</v>
      </c>
      <c r="E166" s="12" t="s">
        <v>53</v>
      </c>
      <c r="F166" s="12" t="s">
        <v>53</v>
      </c>
      <c r="G166" s="103" t="s">
        <v>15</v>
      </c>
      <c r="H166" s="103" t="s">
        <v>12</v>
      </c>
      <c r="I166" s="103">
        <v>0</v>
      </c>
      <c r="J166" s="103">
        <f>IFERROR(VLOOKUP(Table139159[[#This Row],[WORK ORDER]], '1. BUILDING ASSET INVENTORY'!A:K, 10, FALSE),0)</f>
        <v>0</v>
      </c>
      <c r="K166" s="102" t="str">
        <f>IFERROR(VLOOKUP(Table139159[[#This Row],[WORK ORDER]], '1. BUILDING ASSET INVENTORY'!A:L, 11, FALSE),"")</f>
        <v/>
      </c>
      <c r="L166" s="109"/>
      <c r="M166" s="197"/>
      <c r="N166" s="109">
        <f>Table139159[[#This Row],[OPERATOR HOURS (BASE)]]+Table139159[[#This Row],[QUANTITY]]*Table139159[[#This Row],[OPERATOR HOURS (PER UNIT)]]</f>
        <v>0</v>
      </c>
      <c r="O166" s="36">
        <f>'TABLE OF CONTENTS'!$K$34</f>
        <v>37.5</v>
      </c>
      <c r="P166" s="36">
        <f>Table139159[[#This Row],[TOTAL OPERATOR HOURS]]*Table139159[[#This Row],[OPERATOR RATE]]</f>
        <v>0</v>
      </c>
      <c r="Q166" s="14">
        <v>0</v>
      </c>
      <c r="R166" s="13">
        <v>0</v>
      </c>
      <c r="S166" s="13">
        <v>0</v>
      </c>
      <c r="T166" s="28"/>
      <c r="U166" s="37">
        <f>SUM(Table139159[[#This Row],[OPERATOR COST]:[UTILITIES]])*Table139159[[#This Row],[FREQUENCY   (TIMES PER YEAR)]]</f>
        <v>0</v>
      </c>
    </row>
    <row r="167" spans="1:21" hidden="1" x14ac:dyDescent="0.25">
      <c r="A167" s="98" t="str">
        <f>IF(Table139159[[#This Row],[QUANTITY]]&gt;0, "YES", "NO")</f>
        <v>NO</v>
      </c>
      <c r="B167" s="27" t="s">
        <v>970</v>
      </c>
      <c r="C167" s="12" t="s">
        <v>28</v>
      </c>
      <c r="D167" s="12" t="s">
        <v>72</v>
      </c>
      <c r="E167" s="12" t="s">
        <v>53</v>
      </c>
      <c r="F167" s="12" t="s">
        <v>53</v>
      </c>
      <c r="G167" s="103" t="s">
        <v>15</v>
      </c>
      <c r="H167" s="103" t="s">
        <v>12</v>
      </c>
      <c r="I167" s="103">
        <v>0</v>
      </c>
      <c r="J167" s="103">
        <f>IFERROR(VLOOKUP(Table139159[[#This Row],[WORK ORDER]], '1. BUILDING ASSET INVENTORY'!A:K, 10, FALSE),0)</f>
        <v>0</v>
      </c>
      <c r="K167" s="102" t="str">
        <f>IFERROR(VLOOKUP(Table139159[[#This Row],[WORK ORDER]], '1. BUILDING ASSET INVENTORY'!A:L, 11, FALSE),"")</f>
        <v/>
      </c>
      <c r="L167" s="109"/>
      <c r="M167" s="197"/>
      <c r="N167" s="109">
        <f>Table139159[[#This Row],[OPERATOR HOURS (BASE)]]+Table139159[[#This Row],[QUANTITY]]*Table139159[[#This Row],[OPERATOR HOURS (PER UNIT)]]</f>
        <v>0</v>
      </c>
      <c r="O167" s="36">
        <f>'TABLE OF CONTENTS'!$K$34</f>
        <v>37.5</v>
      </c>
      <c r="P167" s="36">
        <f>Table139159[[#This Row],[TOTAL OPERATOR HOURS]]*Table139159[[#This Row],[OPERATOR RATE]]</f>
        <v>0</v>
      </c>
      <c r="Q167" s="14">
        <v>0</v>
      </c>
      <c r="R167" s="13">
        <v>0</v>
      </c>
      <c r="S167" s="13">
        <v>0</v>
      </c>
      <c r="T167" s="28"/>
      <c r="U167" s="37">
        <f>SUM(Table139159[[#This Row],[OPERATOR COST]:[UTILITIES]])*Table139159[[#This Row],[FREQUENCY   (TIMES PER YEAR)]]</f>
        <v>0</v>
      </c>
    </row>
    <row r="168" spans="1:21" hidden="1" x14ac:dyDescent="0.25">
      <c r="A168" s="98" t="str">
        <f>IF(Table139159[[#This Row],[QUANTITY]]&gt;0, "YES", "NO")</f>
        <v>NO</v>
      </c>
      <c r="B168" s="27" t="s">
        <v>969</v>
      </c>
      <c r="C168" s="12" t="s">
        <v>28</v>
      </c>
      <c r="D168" s="12" t="s">
        <v>72</v>
      </c>
      <c r="E168" s="12" t="s">
        <v>53</v>
      </c>
      <c r="F168" s="12" t="s">
        <v>53</v>
      </c>
      <c r="G168" s="103" t="s">
        <v>15</v>
      </c>
      <c r="H168" s="103" t="s">
        <v>12</v>
      </c>
      <c r="I168" s="103">
        <v>0</v>
      </c>
      <c r="J168" s="103">
        <f>IFERROR(VLOOKUP(Table139159[[#This Row],[WORK ORDER]], '1. BUILDING ASSET INVENTORY'!A:K, 10, FALSE),0)</f>
        <v>0</v>
      </c>
      <c r="K168" s="102" t="str">
        <f>IFERROR(VLOOKUP(Table139159[[#This Row],[WORK ORDER]], '1. BUILDING ASSET INVENTORY'!A:L, 11, FALSE),"")</f>
        <v/>
      </c>
      <c r="L168" s="109"/>
      <c r="M168" s="197"/>
      <c r="N168" s="109">
        <f>Table139159[[#This Row],[OPERATOR HOURS (BASE)]]+Table139159[[#This Row],[QUANTITY]]*Table139159[[#This Row],[OPERATOR HOURS (PER UNIT)]]</f>
        <v>0</v>
      </c>
      <c r="O168" s="36">
        <f>'TABLE OF CONTENTS'!$K$34</f>
        <v>37.5</v>
      </c>
      <c r="P168" s="36">
        <f>Table139159[[#This Row],[TOTAL OPERATOR HOURS]]*Table139159[[#This Row],[OPERATOR RATE]]</f>
        <v>0</v>
      </c>
      <c r="Q168" s="14">
        <v>0</v>
      </c>
      <c r="R168" s="13">
        <v>0</v>
      </c>
      <c r="S168" s="13">
        <v>0</v>
      </c>
      <c r="T168" s="28"/>
      <c r="U168" s="37">
        <f>SUM(Table139159[[#This Row],[OPERATOR COST]:[UTILITIES]])*Table139159[[#This Row],[FREQUENCY   (TIMES PER YEAR)]]</f>
        <v>0</v>
      </c>
    </row>
    <row r="169" spans="1:21" x14ac:dyDescent="0.25">
      <c r="A169" s="98" t="str">
        <f>IF(Table139159[[#This Row],[QUANTITY]]&gt;0, "YES", "NO")</f>
        <v>NO</v>
      </c>
      <c r="B169" s="27" t="s">
        <v>834</v>
      </c>
      <c r="C169" s="12" t="s">
        <v>28</v>
      </c>
      <c r="D169" s="12" t="s">
        <v>73</v>
      </c>
      <c r="E169" s="12" t="s">
        <v>26</v>
      </c>
      <c r="F169" s="12" t="s">
        <v>264</v>
      </c>
      <c r="G169" s="103" t="s">
        <v>204</v>
      </c>
      <c r="H169" s="103" t="s">
        <v>8</v>
      </c>
      <c r="I169" s="103">
        <v>1</v>
      </c>
      <c r="J169" s="103">
        <f>IFERROR(VLOOKUP(Table139159[[#This Row],[WORK ORDER]], '1. BUILDING ASSET INVENTORY'!A:K, 10, FALSE),0)</f>
        <v>0</v>
      </c>
      <c r="K169" s="102" t="str">
        <f>IFERROR(VLOOKUP(Table139159[[#This Row],[WORK ORDER]], '1. BUILDING ASSET INVENTORY'!A:L, 11, FALSE),"")</f>
        <v>Each</v>
      </c>
      <c r="L169" s="109">
        <v>1</v>
      </c>
      <c r="M169" s="197">
        <v>0.8</v>
      </c>
      <c r="N169" s="109">
        <f>Table139159[[#This Row],[OPERATOR HOURS (BASE)]]+Table139159[[#This Row],[QUANTITY]]*Table139159[[#This Row],[OPERATOR HOURS (PER UNIT)]]</f>
        <v>1</v>
      </c>
      <c r="O169" s="36">
        <f>'TABLE OF CONTENTS'!$K$34</f>
        <v>37.5</v>
      </c>
      <c r="P169" s="36">
        <f>Table139159[[#This Row],[TOTAL OPERATOR HOURS]]*Table139159[[#This Row],[OPERATOR RATE]]</f>
        <v>37.5</v>
      </c>
      <c r="Q169" s="15">
        <v>0</v>
      </c>
      <c r="R169" s="13">
        <v>0</v>
      </c>
      <c r="S169" s="13">
        <v>50</v>
      </c>
      <c r="T169" s="28"/>
      <c r="U169" s="37">
        <f>SUM(Table139159[[#This Row],[OPERATOR COST]:[UTILITIES]])*Table139159[[#This Row],[FREQUENCY   (TIMES PER YEAR)]]</f>
        <v>87.5</v>
      </c>
    </row>
    <row r="170" spans="1:21" x14ac:dyDescent="0.25">
      <c r="A170" s="98" t="str">
        <f>IF(Table139159[[#This Row],[QUANTITY]]&gt;0, "YES", "NO")</f>
        <v>NO</v>
      </c>
      <c r="B170" s="27" t="s">
        <v>835</v>
      </c>
      <c r="C170" s="12" t="s">
        <v>28</v>
      </c>
      <c r="D170" s="12" t="s">
        <v>73</v>
      </c>
      <c r="E170" s="12" t="s">
        <v>26</v>
      </c>
      <c r="F170" s="12" t="s">
        <v>265</v>
      </c>
      <c r="G170" s="103" t="s">
        <v>204</v>
      </c>
      <c r="H170" s="103" t="s">
        <v>12</v>
      </c>
      <c r="I170" s="103">
        <v>2</v>
      </c>
      <c r="J170" s="103">
        <f>IFERROR(VLOOKUP(Table139159[[#This Row],[WORK ORDER]], '1. BUILDING ASSET INVENTORY'!A:K, 10, FALSE),0)</f>
        <v>0</v>
      </c>
      <c r="K170" s="102" t="str">
        <f>IFERROR(VLOOKUP(Table139159[[#This Row],[WORK ORDER]], '1. BUILDING ASSET INVENTORY'!A:L, 11, FALSE),"")</f>
        <v>Each</v>
      </c>
      <c r="L170" s="109">
        <v>1</v>
      </c>
      <c r="M170" s="197">
        <v>4</v>
      </c>
      <c r="N170" s="109">
        <f>Table139159[[#This Row],[OPERATOR HOURS (BASE)]]+Table139159[[#This Row],[QUANTITY]]*Table139159[[#This Row],[OPERATOR HOURS (PER UNIT)]]</f>
        <v>1</v>
      </c>
      <c r="O170" s="36">
        <f>'TABLE OF CONTENTS'!$K$34</f>
        <v>37.5</v>
      </c>
      <c r="P170" s="36">
        <f>Table139159[[#This Row],[TOTAL OPERATOR HOURS]]*Table139159[[#This Row],[OPERATOR RATE]]</f>
        <v>37.5</v>
      </c>
      <c r="Q170" s="14">
        <v>0</v>
      </c>
      <c r="R170" s="13">
        <v>0</v>
      </c>
      <c r="S170" s="13">
        <v>350</v>
      </c>
      <c r="T170" s="28"/>
      <c r="U170" s="37">
        <f>SUM(Table139159[[#This Row],[OPERATOR COST]:[UTILITIES]])*Table139159[[#This Row],[FREQUENCY   (TIMES PER YEAR)]]</f>
        <v>775</v>
      </c>
    </row>
    <row r="171" spans="1:21" hidden="1" x14ac:dyDescent="0.25">
      <c r="A171" s="98" t="str">
        <f>IF(Table139159[[#This Row],[QUANTITY]]&gt;0, "YES", "NO")</f>
        <v>NO</v>
      </c>
      <c r="B171" s="27" t="s">
        <v>968</v>
      </c>
      <c r="C171" s="12" t="s">
        <v>28</v>
      </c>
      <c r="D171" s="12" t="s">
        <v>73</v>
      </c>
      <c r="E171" s="12" t="s">
        <v>53</v>
      </c>
      <c r="F171" s="12" t="s">
        <v>53</v>
      </c>
      <c r="G171" s="103" t="s">
        <v>15</v>
      </c>
      <c r="H171" s="103" t="s">
        <v>12</v>
      </c>
      <c r="I171" s="103">
        <v>0</v>
      </c>
      <c r="J171" s="103">
        <f>IFERROR(VLOOKUP(Table139159[[#This Row],[WORK ORDER]], '1. BUILDING ASSET INVENTORY'!A:K, 10, FALSE),0)</f>
        <v>0</v>
      </c>
      <c r="K171" s="102" t="str">
        <f>IFERROR(VLOOKUP(Table139159[[#This Row],[WORK ORDER]], '1. BUILDING ASSET INVENTORY'!A:L, 11, FALSE),"")</f>
        <v/>
      </c>
      <c r="L171" s="109"/>
      <c r="M171" s="197"/>
      <c r="N171" s="109">
        <f>Table139159[[#This Row],[OPERATOR HOURS (BASE)]]+Table139159[[#This Row],[QUANTITY]]*Table139159[[#This Row],[OPERATOR HOURS (PER UNIT)]]</f>
        <v>0</v>
      </c>
      <c r="O171" s="36">
        <f>'TABLE OF CONTENTS'!$K$34</f>
        <v>37.5</v>
      </c>
      <c r="P171" s="36">
        <f>Table139159[[#This Row],[TOTAL OPERATOR HOURS]]*Table139159[[#This Row],[OPERATOR RATE]]</f>
        <v>0</v>
      </c>
      <c r="Q171" s="15">
        <v>0</v>
      </c>
      <c r="R171" s="13">
        <v>0</v>
      </c>
      <c r="S171" s="13">
        <v>0</v>
      </c>
      <c r="T171" s="28"/>
      <c r="U171" s="37">
        <f>SUM(Table139159[[#This Row],[OPERATOR COST]:[UTILITIES]])*Table139159[[#This Row],[FREQUENCY   (TIMES PER YEAR)]]</f>
        <v>0</v>
      </c>
    </row>
    <row r="172" spans="1:21" hidden="1" x14ac:dyDescent="0.25">
      <c r="A172" s="98" t="str">
        <f>IF(Table139159[[#This Row],[QUANTITY]]&gt;0, "YES", "NO")</f>
        <v>NO</v>
      </c>
      <c r="B172" s="27" t="s">
        <v>967</v>
      </c>
      <c r="C172" s="12" t="s">
        <v>28</v>
      </c>
      <c r="D172" s="12" t="s">
        <v>73</v>
      </c>
      <c r="E172" s="12" t="s">
        <v>53</v>
      </c>
      <c r="F172" s="12" t="s">
        <v>53</v>
      </c>
      <c r="G172" s="103" t="s">
        <v>15</v>
      </c>
      <c r="H172" s="103" t="s">
        <v>12</v>
      </c>
      <c r="I172" s="103">
        <v>0</v>
      </c>
      <c r="J172" s="103">
        <f>IFERROR(VLOOKUP(Table139159[[#This Row],[WORK ORDER]], '1. BUILDING ASSET INVENTORY'!A:K, 10, FALSE),0)</f>
        <v>0</v>
      </c>
      <c r="K172" s="102" t="str">
        <f>IFERROR(VLOOKUP(Table139159[[#This Row],[WORK ORDER]], '1. BUILDING ASSET INVENTORY'!A:L, 11, FALSE),"")</f>
        <v/>
      </c>
      <c r="L172" s="109"/>
      <c r="M172" s="197"/>
      <c r="N172" s="109">
        <f>Table139159[[#This Row],[OPERATOR HOURS (BASE)]]+Table139159[[#This Row],[QUANTITY]]*Table139159[[#This Row],[OPERATOR HOURS (PER UNIT)]]</f>
        <v>0</v>
      </c>
      <c r="O172" s="36">
        <f>'TABLE OF CONTENTS'!$K$34</f>
        <v>37.5</v>
      </c>
      <c r="P172" s="36">
        <f>Table139159[[#This Row],[TOTAL OPERATOR HOURS]]*Table139159[[#This Row],[OPERATOR RATE]]</f>
        <v>0</v>
      </c>
      <c r="Q172" s="15">
        <v>0</v>
      </c>
      <c r="R172" s="13">
        <v>0</v>
      </c>
      <c r="S172" s="13">
        <v>0</v>
      </c>
      <c r="T172" s="28"/>
      <c r="U172" s="37">
        <f>SUM(Table139159[[#This Row],[OPERATOR COST]:[UTILITIES]])*Table139159[[#This Row],[FREQUENCY   (TIMES PER YEAR)]]</f>
        <v>0</v>
      </c>
    </row>
    <row r="173" spans="1:21" hidden="1" x14ac:dyDescent="0.25">
      <c r="A173" s="98" t="str">
        <f>IF(Table139159[[#This Row],[QUANTITY]]&gt;0, "YES", "NO")</f>
        <v>NO</v>
      </c>
      <c r="B173" s="27" t="s">
        <v>966</v>
      </c>
      <c r="C173" s="12" t="s">
        <v>28</v>
      </c>
      <c r="D173" s="12" t="s">
        <v>73</v>
      </c>
      <c r="E173" s="12" t="s">
        <v>53</v>
      </c>
      <c r="F173" s="12" t="s">
        <v>53</v>
      </c>
      <c r="G173" s="103" t="s">
        <v>15</v>
      </c>
      <c r="H173" s="103" t="s">
        <v>12</v>
      </c>
      <c r="I173" s="103">
        <v>0</v>
      </c>
      <c r="J173" s="103">
        <f>IFERROR(VLOOKUP(Table139159[[#This Row],[WORK ORDER]], '1. BUILDING ASSET INVENTORY'!A:K, 10, FALSE),0)</f>
        <v>0</v>
      </c>
      <c r="K173" s="102" t="str">
        <f>IFERROR(VLOOKUP(Table139159[[#This Row],[WORK ORDER]], '1. BUILDING ASSET INVENTORY'!A:L, 11, FALSE),"")</f>
        <v/>
      </c>
      <c r="L173" s="109"/>
      <c r="M173" s="197"/>
      <c r="N173" s="109">
        <f>Table139159[[#This Row],[OPERATOR HOURS (BASE)]]+Table139159[[#This Row],[QUANTITY]]*Table139159[[#This Row],[OPERATOR HOURS (PER UNIT)]]</f>
        <v>0</v>
      </c>
      <c r="O173" s="36">
        <f>'TABLE OF CONTENTS'!$K$34</f>
        <v>37.5</v>
      </c>
      <c r="P173" s="36">
        <f>Table139159[[#This Row],[TOTAL OPERATOR HOURS]]*Table139159[[#This Row],[OPERATOR RATE]]</f>
        <v>0</v>
      </c>
      <c r="Q173" s="15">
        <v>0</v>
      </c>
      <c r="R173" s="13">
        <v>0</v>
      </c>
      <c r="S173" s="13">
        <v>0</v>
      </c>
      <c r="T173" s="28"/>
      <c r="U173" s="37">
        <f>SUM(Table139159[[#This Row],[OPERATOR COST]:[UTILITIES]])*Table139159[[#This Row],[FREQUENCY   (TIMES PER YEAR)]]</f>
        <v>0</v>
      </c>
    </row>
    <row r="174" spans="1:21" hidden="1" x14ac:dyDescent="0.25">
      <c r="A174" s="98" t="str">
        <f>IF(Table139159[[#This Row],[QUANTITY]]&gt;0, "YES", "NO")</f>
        <v>NO</v>
      </c>
      <c r="B174" s="27" t="s">
        <v>965</v>
      </c>
      <c r="C174" s="12" t="s">
        <v>28</v>
      </c>
      <c r="D174" s="12" t="s">
        <v>73</v>
      </c>
      <c r="E174" s="12" t="s">
        <v>53</v>
      </c>
      <c r="F174" s="12" t="s">
        <v>53</v>
      </c>
      <c r="G174" s="103" t="s">
        <v>15</v>
      </c>
      <c r="H174" s="103" t="s">
        <v>12</v>
      </c>
      <c r="I174" s="103">
        <v>0</v>
      </c>
      <c r="J174" s="103">
        <f>IFERROR(VLOOKUP(Table139159[[#This Row],[WORK ORDER]], '1. BUILDING ASSET INVENTORY'!A:K, 10, FALSE),0)</f>
        <v>0</v>
      </c>
      <c r="K174" s="102" t="str">
        <f>IFERROR(VLOOKUP(Table139159[[#This Row],[WORK ORDER]], '1. BUILDING ASSET INVENTORY'!A:L, 11, FALSE),"")</f>
        <v/>
      </c>
      <c r="L174" s="109"/>
      <c r="M174" s="197"/>
      <c r="N174" s="109">
        <f>Table139159[[#This Row],[OPERATOR HOURS (BASE)]]+Table139159[[#This Row],[QUANTITY]]*Table139159[[#This Row],[OPERATOR HOURS (PER UNIT)]]</f>
        <v>0</v>
      </c>
      <c r="O174" s="36">
        <f>'TABLE OF CONTENTS'!$K$34</f>
        <v>37.5</v>
      </c>
      <c r="P174" s="36">
        <f>Table139159[[#This Row],[TOTAL OPERATOR HOURS]]*Table139159[[#This Row],[OPERATOR RATE]]</f>
        <v>0</v>
      </c>
      <c r="Q174" s="14">
        <v>0</v>
      </c>
      <c r="R174" s="13">
        <v>0</v>
      </c>
      <c r="S174" s="13">
        <v>0</v>
      </c>
      <c r="T174" s="28"/>
      <c r="U174" s="37">
        <f>SUM(Table139159[[#This Row],[OPERATOR COST]:[UTILITIES]])*Table139159[[#This Row],[FREQUENCY   (TIMES PER YEAR)]]</f>
        <v>0</v>
      </c>
    </row>
    <row r="175" spans="1:21" x14ac:dyDescent="0.25">
      <c r="A175" s="98" t="str">
        <f>IF(Table139159[[#This Row],[QUANTITY]]&gt;0, "YES", "NO")</f>
        <v>NO</v>
      </c>
      <c r="B175" s="27" t="s">
        <v>862</v>
      </c>
      <c r="C175" s="12" t="s">
        <v>28</v>
      </c>
      <c r="D175" s="12" t="s">
        <v>93</v>
      </c>
      <c r="E175" s="12" t="s">
        <v>94</v>
      </c>
      <c r="F175" s="12" t="s">
        <v>268</v>
      </c>
      <c r="G175" s="103" t="s">
        <v>204</v>
      </c>
      <c r="H175" s="103" t="s">
        <v>115</v>
      </c>
      <c r="I175" s="103">
        <f>1/7</f>
        <v>0.14285714285714285</v>
      </c>
      <c r="J175" s="103">
        <f>IFERROR(VLOOKUP(Table139159[[#This Row],[WORK ORDER]], '1. BUILDING ASSET INVENTORY'!A:K, 10, FALSE),0)</f>
        <v>0</v>
      </c>
      <c r="K175" s="102" t="str">
        <f>IFERROR(VLOOKUP(Table139159[[#This Row],[WORK ORDER]], '1. BUILDING ASSET INVENTORY'!A:L, 11, FALSE),"")</f>
        <v xml:space="preserve">m² </v>
      </c>
      <c r="L175" s="111">
        <v>1</v>
      </c>
      <c r="M175" s="199">
        <v>0.8</v>
      </c>
      <c r="N175" s="109">
        <f>Table139159[[#This Row],[OPERATOR HOURS (BASE)]]+Table139159[[#This Row],[QUANTITY]]*Table139159[[#This Row],[OPERATOR HOURS (PER UNIT)]]</f>
        <v>1</v>
      </c>
      <c r="O175" s="36">
        <f>'TABLE OF CONTENTS'!$K$34</f>
        <v>37.5</v>
      </c>
      <c r="P175" s="36">
        <f>Table139159[[#This Row],[TOTAL OPERATOR HOURS]]*Table139159[[#This Row],[OPERATOR RATE]]</f>
        <v>37.5</v>
      </c>
      <c r="Q175" s="14">
        <f>PRODUCT(Table139159[[#This Row],[QUANTITY]],40)</f>
        <v>0</v>
      </c>
      <c r="R175" s="13">
        <v>0</v>
      </c>
      <c r="S175" s="13">
        <v>400</v>
      </c>
      <c r="T175" s="28"/>
      <c r="U175" s="37">
        <f>SUM(Table139159[[#This Row],[OPERATOR COST]:[UTILITIES]])*Table139159[[#This Row],[FREQUENCY   (TIMES PER YEAR)]]</f>
        <v>62.5</v>
      </c>
    </row>
    <row r="176" spans="1:21" x14ac:dyDescent="0.25">
      <c r="A176" s="98" t="str">
        <f>IF(Table139159[[#This Row],[QUANTITY]]&gt;0, "YES", "NO")</f>
        <v>NO</v>
      </c>
      <c r="B176" s="27" t="s">
        <v>863</v>
      </c>
      <c r="C176" s="12" t="s">
        <v>28</v>
      </c>
      <c r="D176" s="12" t="s">
        <v>93</v>
      </c>
      <c r="E176" s="12" t="s">
        <v>128</v>
      </c>
      <c r="F176" s="12" t="s">
        <v>267</v>
      </c>
      <c r="G176" s="103" t="s">
        <v>204</v>
      </c>
      <c r="H176" s="103" t="s">
        <v>132</v>
      </c>
      <c r="I176" s="103">
        <v>0.1</v>
      </c>
      <c r="J176" s="103">
        <f>IFERROR(VLOOKUP(Table139159[[#This Row],[WORK ORDER]], '1. BUILDING ASSET INVENTORY'!A:K, 10, FALSE),0)</f>
        <v>0</v>
      </c>
      <c r="K176" s="102" t="str">
        <f>IFERROR(VLOOKUP(Table139159[[#This Row],[WORK ORDER]], '1. BUILDING ASSET INVENTORY'!A:L, 11, FALSE),"")</f>
        <v xml:space="preserve">m² </v>
      </c>
      <c r="L176" s="109">
        <v>1</v>
      </c>
      <c r="M176" s="197">
        <v>0.4</v>
      </c>
      <c r="N176" s="109">
        <f>Table139159[[#This Row],[OPERATOR HOURS (BASE)]]+Table139159[[#This Row],[QUANTITY]]*Table139159[[#This Row],[OPERATOR HOURS (PER UNIT)]]</f>
        <v>1</v>
      </c>
      <c r="O176" s="36">
        <f>'TABLE OF CONTENTS'!$K$34</f>
        <v>37.5</v>
      </c>
      <c r="P176" s="36">
        <f>Table139159[[#This Row],[TOTAL OPERATOR HOURS]]*Table139159[[#This Row],[OPERATOR RATE]]</f>
        <v>37.5</v>
      </c>
      <c r="Q176" s="14">
        <f>PRODUCT(Table139159[[#This Row],[QUANTITY]],40)</f>
        <v>0</v>
      </c>
      <c r="R176" s="13">
        <v>0</v>
      </c>
      <c r="S176" s="13">
        <v>100</v>
      </c>
      <c r="T176" s="28"/>
      <c r="U176" s="37">
        <f>SUM(Table139159[[#This Row],[OPERATOR COST]:[UTILITIES]])*Table139159[[#This Row],[FREQUENCY   (TIMES PER YEAR)]]</f>
        <v>13.75</v>
      </c>
    </row>
    <row r="177" spans="1:21" x14ac:dyDescent="0.25">
      <c r="A177" s="98" t="str">
        <f>IF(Table139159[[#This Row],[QUANTITY]]&gt;0, "YES", "NO")</f>
        <v>NO</v>
      </c>
      <c r="B177" s="27" t="s">
        <v>864</v>
      </c>
      <c r="C177" s="12" t="s">
        <v>28</v>
      </c>
      <c r="D177" s="12" t="s">
        <v>93</v>
      </c>
      <c r="E177" s="12" t="s">
        <v>270</v>
      </c>
      <c r="F177" s="12" t="s">
        <v>269</v>
      </c>
      <c r="G177" s="103" t="s">
        <v>204</v>
      </c>
      <c r="H177" s="103" t="s">
        <v>132</v>
      </c>
      <c r="I177" s="103">
        <f>1/10</f>
        <v>0.1</v>
      </c>
      <c r="J177" s="103">
        <f>IFERROR(VLOOKUP(Table139159[[#This Row],[WORK ORDER]], '1. BUILDING ASSET INVENTORY'!A:K, 10, FALSE),0)</f>
        <v>0</v>
      </c>
      <c r="K177" s="102" t="str">
        <f>IFERROR(VLOOKUP(Table139159[[#This Row],[WORK ORDER]], '1. BUILDING ASSET INVENTORY'!A:L, 11, FALSE),"")</f>
        <v xml:space="preserve">m² </v>
      </c>
      <c r="L177" s="109">
        <v>1</v>
      </c>
      <c r="M177" s="197">
        <v>0.4</v>
      </c>
      <c r="N177" s="109">
        <f>Table139159[[#This Row],[OPERATOR HOURS (BASE)]]+Table139159[[#This Row],[QUANTITY]]*Table139159[[#This Row],[OPERATOR HOURS (PER UNIT)]]</f>
        <v>1</v>
      </c>
      <c r="O177" s="36">
        <f>'TABLE OF CONTENTS'!$K$34</f>
        <v>37.5</v>
      </c>
      <c r="P177" s="36">
        <f>Table139159[[#This Row],[TOTAL OPERATOR HOURS]]*Table139159[[#This Row],[OPERATOR RATE]]</f>
        <v>37.5</v>
      </c>
      <c r="Q177" s="15">
        <f>PRODUCT(Table139159[[#This Row],[QUANTITY]],40)</f>
        <v>0</v>
      </c>
      <c r="R177" s="13">
        <v>0</v>
      </c>
      <c r="S177" s="13">
        <v>100</v>
      </c>
      <c r="T177" s="28"/>
      <c r="U177" s="37">
        <f>SUM(Table139159[[#This Row],[OPERATOR COST]:[UTILITIES]])*Table139159[[#This Row],[FREQUENCY   (TIMES PER YEAR)]]</f>
        <v>13.75</v>
      </c>
    </row>
    <row r="178" spans="1:21" x14ac:dyDescent="0.25">
      <c r="A178" s="98" t="str">
        <f>IF(Table139159[[#This Row],[QUANTITY]]&gt;0, "YES", "NO")</f>
        <v>NO</v>
      </c>
      <c r="B178" s="27" t="s">
        <v>836</v>
      </c>
      <c r="C178" s="12" t="s">
        <v>28</v>
      </c>
      <c r="D178" s="12" t="s">
        <v>93</v>
      </c>
      <c r="E178" s="12" t="s">
        <v>130</v>
      </c>
      <c r="F178" s="12" t="s">
        <v>271</v>
      </c>
      <c r="G178" s="103" t="s">
        <v>204</v>
      </c>
      <c r="H178" s="103" t="s">
        <v>12</v>
      </c>
      <c r="I178" s="103">
        <v>3</v>
      </c>
      <c r="J178" s="103">
        <f>IFERROR(VLOOKUP(Table139159[[#This Row],[WORK ORDER]], '1. BUILDING ASSET INVENTORY'!A:K, 10, FALSE),0)</f>
        <v>0</v>
      </c>
      <c r="K178" s="102" t="str">
        <f>IFERROR(VLOOKUP(Table139159[[#This Row],[WORK ORDER]], '1. BUILDING ASSET INVENTORY'!A:L, 11, FALSE),"")</f>
        <v xml:space="preserve">m² </v>
      </c>
      <c r="L178" s="109">
        <v>1</v>
      </c>
      <c r="M178" s="197">
        <v>0.4</v>
      </c>
      <c r="N178" s="109">
        <f>Table139159[[#This Row],[OPERATOR HOURS (BASE)]]+Table139159[[#This Row],[QUANTITY]]*Table139159[[#This Row],[OPERATOR HOURS (PER UNIT)]]</f>
        <v>1</v>
      </c>
      <c r="O178" s="36">
        <f>'TABLE OF CONTENTS'!$K$34</f>
        <v>37.5</v>
      </c>
      <c r="P178" s="36">
        <f>Table139159[[#This Row],[TOTAL OPERATOR HOURS]]*Table139159[[#This Row],[OPERATOR RATE]]</f>
        <v>37.5</v>
      </c>
      <c r="Q178" s="15">
        <v>0</v>
      </c>
      <c r="R178" s="13">
        <v>0</v>
      </c>
      <c r="S178" s="13">
        <v>50</v>
      </c>
      <c r="T178" s="28"/>
      <c r="U178" s="37">
        <f>SUM(Table139159[[#This Row],[OPERATOR COST]:[UTILITIES]])*Table139159[[#This Row],[FREQUENCY   (TIMES PER YEAR)]]</f>
        <v>262.5</v>
      </c>
    </row>
    <row r="179" spans="1:21" hidden="1" x14ac:dyDescent="0.25">
      <c r="A179" s="98" t="str">
        <f>IF(Table139159[[#This Row],[QUANTITY]]&gt;0, "YES", "NO")</f>
        <v>NO</v>
      </c>
      <c r="B179" s="27" t="s">
        <v>964</v>
      </c>
      <c r="C179" s="12" t="s">
        <v>28</v>
      </c>
      <c r="D179" s="12" t="s">
        <v>93</v>
      </c>
      <c r="E179" s="12" t="s">
        <v>53</v>
      </c>
      <c r="F179" s="12" t="s">
        <v>53</v>
      </c>
      <c r="G179" s="103" t="s">
        <v>15</v>
      </c>
      <c r="H179" s="103" t="s">
        <v>12</v>
      </c>
      <c r="I179" s="103">
        <v>0</v>
      </c>
      <c r="J179" s="103">
        <f>IFERROR(VLOOKUP(Table139159[[#This Row],[WORK ORDER]], '1. BUILDING ASSET INVENTORY'!A:K, 10, FALSE),0)</f>
        <v>0</v>
      </c>
      <c r="K179" s="102" t="str">
        <f>IFERROR(VLOOKUP(Table139159[[#This Row],[WORK ORDER]], '1. BUILDING ASSET INVENTORY'!A:L, 11, FALSE),"")</f>
        <v/>
      </c>
      <c r="L179" s="109"/>
      <c r="M179" s="197"/>
      <c r="N179" s="109">
        <f>Table139159[[#This Row],[OPERATOR HOURS (BASE)]]+Table139159[[#This Row],[QUANTITY]]*Table139159[[#This Row],[OPERATOR HOURS (PER UNIT)]]</f>
        <v>0</v>
      </c>
      <c r="O179" s="36">
        <f>'TABLE OF CONTENTS'!$K$34</f>
        <v>37.5</v>
      </c>
      <c r="P179" s="36">
        <f>Table139159[[#This Row],[TOTAL OPERATOR HOURS]]*Table139159[[#This Row],[OPERATOR RATE]]</f>
        <v>0</v>
      </c>
      <c r="Q179" s="15">
        <v>0</v>
      </c>
      <c r="R179" s="13">
        <v>0</v>
      </c>
      <c r="S179" s="13">
        <v>0</v>
      </c>
      <c r="T179" s="28"/>
      <c r="U179" s="37">
        <f>SUM(Table139159[[#This Row],[OPERATOR COST]:[UTILITIES]])*Table139159[[#This Row],[FREQUENCY   (TIMES PER YEAR)]]</f>
        <v>0</v>
      </c>
    </row>
    <row r="180" spans="1:21" hidden="1" x14ac:dyDescent="0.25">
      <c r="A180" s="98" t="str">
        <f>IF(Table139159[[#This Row],[QUANTITY]]&gt;0, "YES", "NO")</f>
        <v>NO</v>
      </c>
      <c r="B180" s="27" t="s">
        <v>963</v>
      </c>
      <c r="C180" s="12" t="s">
        <v>28</v>
      </c>
      <c r="D180" s="12" t="s">
        <v>93</v>
      </c>
      <c r="E180" s="12" t="s">
        <v>53</v>
      </c>
      <c r="F180" s="12" t="s">
        <v>53</v>
      </c>
      <c r="G180" s="103" t="s">
        <v>15</v>
      </c>
      <c r="H180" s="103" t="s">
        <v>12</v>
      </c>
      <c r="I180" s="103">
        <v>0</v>
      </c>
      <c r="J180" s="103">
        <f>IFERROR(VLOOKUP(Table139159[[#This Row],[WORK ORDER]], '1. BUILDING ASSET INVENTORY'!A:K, 10, FALSE),0)</f>
        <v>0</v>
      </c>
      <c r="K180" s="102" t="str">
        <f>IFERROR(VLOOKUP(Table139159[[#This Row],[WORK ORDER]], '1. BUILDING ASSET INVENTORY'!A:L, 11, FALSE),"")</f>
        <v/>
      </c>
      <c r="L180" s="109"/>
      <c r="M180" s="197"/>
      <c r="N180" s="109">
        <f>Table139159[[#This Row],[OPERATOR HOURS (BASE)]]+Table139159[[#This Row],[QUANTITY]]*Table139159[[#This Row],[OPERATOR HOURS (PER UNIT)]]</f>
        <v>0</v>
      </c>
      <c r="O180" s="36">
        <f>'TABLE OF CONTENTS'!$K$34</f>
        <v>37.5</v>
      </c>
      <c r="P180" s="36">
        <f>Table139159[[#This Row],[TOTAL OPERATOR HOURS]]*Table139159[[#This Row],[OPERATOR RATE]]</f>
        <v>0</v>
      </c>
      <c r="Q180" s="14">
        <v>0</v>
      </c>
      <c r="R180" s="13">
        <v>0</v>
      </c>
      <c r="S180" s="13">
        <v>0</v>
      </c>
      <c r="T180" s="28"/>
      <c r="U180" s="37">
        <f>SUM(Table139159[[#This Row],[OPERATOR COST]:[UTILITIES]])*Table139159[[#This Row],[FREQUENCY   (TIMES PER YEAR)]]</f>
        <v>0</v>
      </c>
    </row>
    <row r="181" spans="1:21" ht="30" x14ac:dyDescent="0.25">
      <c r="A181" s="98" t="str">
        <f>IF(Table139159[[#This Row],[QUANTITY]]&gt;0, "YES", "NO")</f>
        <v>NO</v>
      </c>
      <c r="B181" s="27" t="s">
        <v>837</v>
      </c>
      <c r="C181" s="12" t="s">
        <v>28</v>
      </c>
      <c r="D181" s="12" t="s">
        <v>117</v>
      </c>
      <c r="E181" s="12" t="s">
        <v>272</v>
      </c>
      <c r="F181" s="12" t="s">
        <v>273</v>
      </c>
      <c r="G181" s="103" t="s">
        <v>204</v>
      </c>
      <c r="H181" s="103" t="s">
        <v>8</v>
      </c>
      <c r="I181" s="103">
        <v>1</v>
      </c>
      <c r="J181" s="103">
        <f>IFERROR(VLOOKUP(Table139159[[#This Row],[WORK ORDER]], '1. BUILDING ASSET INVENTORY'!A:K, 10, FALSE),0)</f>
        <v>0</v>
      </c>
      <c r="K181" s="102" t="str">
        <f>IFERROR(VLOOKUP(Table139159[[#This Row],[WORK ORDER]], '1. BUILDING ASSET INVENTORY'!A:L, 11, FALSE),"")</f>
        <v>Each</v>
      </c>
      <c r="L181" s="109">
        <v>1</v>
      </c>
      <c r="M181" s="197">
        <v>2</v>
      </c>
      <c r="N181" s="109">
        <f>Table139159[[#This Row],[OPERATOR HOURS (BASE)]]+Table139159[[#This Row],[QUANTITY]]*Table139159[[#This Row],[OPERATOR HOURS (PER UNIT)]]</f>
        <v>1</v>
      </c>
      <c r="O181" s="36">
        <f>'TABLE OF CONTENTS'!$K$34</f>
        <v>37.5</v>
      </c>
      <c r="P181" s="36">
        <f>Table139159[[#This Row],[TOTAL OPERATOR HOURS]]*Table139159[[#This Row],[OPERATOR RATE]]</f>
        <v>37.5</v>
      </c>
      <c r="Q181" s="15">
        <v>0</v>
      </c>
      <c r="R181" s="13">
        <v>0</v>
      </c>
      <c r="S181" s="13">
        <v>20</v>
      </c>
      <c r="T181" s="28"/>
      <c r="U181" s="37">
        <f>SUM(Table139159[[#This Row],[OPERATOR COST]:[UTILITIES]])*Table139159[[#This Row],[FREQUENCY   (TIMES PER YEAR)]]</f>
        <v>57.5</v>
      </c>
    </row>
    <row r="182" spans="1:21" x14ac:dyDescent="0.25">
      <c r="A182" s="98" t="str">
        <f>IF(Table139159[[#This Row],[QUANTITY]]&gt;0, "YES", "NO")</f>
        <v>NO</v>
      </c>
      <c r="B182" s="27" t="s">
        <v>838</v>
      </c>
      <c r="C182" s="12" t="s">
        <v>28</v>
      </c>
      <c r="D182" s="12" t="s">
        <v>117</v>
      </c>
      <c r="E182" s="12" t="s">
        <v>118</v>
      </c>
      <c r="F182" s="12" t="s">
        <v>274</v>
      </c>
      <c r="G182" s="103" t="s">
        <v>204</v>
      </c>
      <c r="H182" s="103" t="s">
        <v>12</v>
      </c>
      <c r="I182" s="103">
        <v>0</v>
      </c>
      <c r="J182" s="103">
        <f>IFERROR(VLOOKUP(Table139159[[#This Row],[WORK ORDER]], '1. BUILDING ASSET INVENTORY'!A:K, 10, FALSE),0)</f>
        <v>0</v>
      </c>
      <c r="K182" s="102" t="str">
        <f>IFERROR(VLOOKUP(Table139159[[#This Row],[WORK ORDER]], '1. BUILDING ASSET INVENTORY'!A:L, 11, FALSE),"")</f>
        <v>Each</v>
      </c>
      <c r="L182" s="109">
        <v>1</v>
      </c>
      <c r="M182" s="197">
        <v>4</v>
      </c>
      <c r="N182" s="109">
        <f>Table139159[[#This Row],[OPERATOR HOURS (BASE)]]+Table139159[[#This Row],[QUANTITY]]*Table139159[[#This Row],[OPERATOR HOURS (PER UNIT)]]</f>
        <v>1</v>
      </c>
      <c r="O182" s="36">
        <f>'TABLE OF CONTENTS'!$K$34</f>
        <v>37.5</v>
      </c>
      <c r="P182" s="36">
        <f>Table139159[[#This Row],[TOTAL OPERATOR HOURS]]*Table139159[[#This Row],[OPERATOR RATE]]</f>
        <v>37.5</v>
      </c>
      <c r="Q182" s="14">
        <f>PRODUCT(Table139159[[#This Row],[QUANTITY]],500)</f>
        <v>0</v>
      </c>
      <c r="R182" s="13">
        <v>0</v>
      </c>
      <c r="S182" s="13">
        <v>100</v>
      </c>
      <c r="T182" s="28"/>
      <c r="U182" s="37">
        <f>SUM(Table139159[[#This Row],[OPERATOR COST]:[UTILITIES]])*Table139159[[#This Row],[FREQUENCY   (TIMES PER YEAR)]]</f>
        <v>0</v>
      </c>
    </row>
    <row r="183" spans="1:21" x14ac:dyDescent="0.25">
      <c r="A183" s="98" t="str">
        <f>IF(Table139159[[#This Row],[QUANTITY]]&gt;0, "YES", "NO")</f>
        <v>NO</v>
      </c>
      <c r="B183" s="27" t="s">
        <v>839</v>
      </c>
      <c r="C183" s="12" t="s">
        <v>28</v>
      </c>
      <c r="D183" s="12" t="s">
        <v>117</v>
      </c>
      <c r="E183" s="12" t="s">
        <v>27</v>
      </c>
      <c r="F183" s="12" t="s">
        <v>275</v>
      </c>
      <c r="G183" s="103" t="s">
        <v>204</v>
      </c>
      <c r="H183" s="103" t="s">
        <v>12</v>
      </c>
      <c r="I183" s="103">
        <v>0</v>
      </c>
      <c r="J183" s="103">
        <f>IFERROR(VLOOKUP(Table139159[[#This Row],[WORK ORDER]], '1. BUILDING ASSET INVENTORY'!A:K, 10, FALSE),0)</f>
        <v>0</v>
      </c>
      <c r="K183" s="102" t="str">
        <f>IFERROR(VLOOKUP(Table139159[[#This Row],[WORK ORDER]], '1. BUILDING ASSET INVENTORY'!A:L, 11, FALSE),"")</f>
        <v>Each</v>
      </c>
      <c r="L183" s="109">
        <v>1</v>
      </c>
      <c r="M183" s="197">
        <v>4</v>
      </c>
      <c r="N183" s="109">
        <f>Table139159[[#This Row],[OPERATOR HOURS (BASE)]]+Table139159[[#This Row],[QUANTITY]]*Table139159[[#This Row],[OPERATOR HOURS (PER UNIT)]]</f>
        <v>1</v>
      </c>
      <c r="O183" s="36">
        <f>'TABLE OF CONTENTS'!$K$34</f>
        <v>37.5</v>
      </c>
      <c r="P183" s="36">
        <f>Table139159[[#This Row],[TOTAL OPERATOR HOURS]]*Table139159[[#This Row],[OPERATOR RATE]]</f>
        <v>37.5</v>
      </c>
      <c r="Q183" s="14">
        <f>PRODUCT(Table139159[[#This Row],[QUANTITY]],500)</f>
        <v>0</v>
      </c>
      <c r="R183" s="13">
        <v>0</v>
      </c>
      <c r="S183" s="13">
        <v>200</v>
      </c>
      <c r="T183" s="28"/>
      <c r="U183" s="37">
        <f>SUM(Table139159[[#This Row],[OPERATOR COST]:[UTILITIES]])*Table139159[[#This Row],[FREQUENCY   (TIMES PER YEAR)]]</f>
        <v>0</v>
      </c>
    </row>
    <row r="184" spans="1:21" hidden="1" x14ac:dyDescent="0.25">
      <c r="A184" s="98" t="str">
        <f>IF(Table139159[[#This Row],[QUANTITY]]&gt;0, "YES", "NO")</f>
        <v>NO</v>
      </c>
      <c r="B184" s="27" t="s">
        <v>962</v>
      </c>
      <c r="C184" s="12" t="s">
        <v>28</v>
      </c>
      <c r="D184" s="12" t="s">
        <v>117</v>
      </c>
      <c r="E184" s="12" t="s">
        <v>27</v>
      </c>
      <c r="F184" s="12" t="s">
        <v>53</v>
      </c>
      <c r="G184" s="103" t="s">
        <v>15</v>
      </c>
      <c r="H184" s="103" t="s">
        <v>12</v>
      </c>
      <c r="I184" s="103">
        <v>0</v>
      </c>
      <c r="J184" s="103">
        <f>IFERROR(VLOOKUP(Table139159[[#This Row],[WORK ORDER]], '1. BUILDING ASSET INVENTORY'!A:K, 10, FALSE),0)</f>
        <v>0</v>
      </c>
      <c r="K184" s="102" t="str">
        <f>IFERROR(VLOOKUP(Table139159[[#This Row],[WORK ORDER]], '1. BUILDING ASSET INVENTORY'!A:L, 11, FALSE),"")</f>
        <v/>
      </c>
      <c r="L184" s="109"/>
      <c r="M184" s="197"/>
      <c r="N184" s="109">
        <f>Table139159[[#This Row],[OPERATOR HOURS (BASE)]]+Table139159[[#This Row],[QUANTITY]]*Table139159[[#This Row],[OPERATOR HOURS (PER UNIT)]]</f>
        <v>0</v>
      </c>
      <c r="O184" s="36">
        <f>'TABLE OF CONTENTS'!$K$34</f>
        <v>37.5</v>
      </c>
      <c r="P184" s="36">
        <f>Table139159[[#This Row],[TOTAL OPERATOR HOURS]]*Table139159[[#This Row],[OPERATOR RATE]]</f>
        <v>0</v>
      </c>
      <c r="Q184" s="15">
        <v>0</v>
      </c>
      <c r="R184" s="13">
        <v>0</v>
      </c>
      <c r="S184" s="13">
        <v>0</v>
      </c>
      <c r="T184" s="28"/>
      <c r="U184" s="37">
        <f>SUM(Table139159[[#This Row],[OPERATOR COST]:[UTILITIES]])*Table139159[[#This Row],[FREQUENCY   (TIMES PER YEAR)]]</f>
        <v>0</v>
      </c>
    </row>
    <row r="185" spans="1:21" hidden="1" x14ac:dyDescent="0.25">
      <c r="A185" s="98" t="str">
        <f>IF(Table139159[[#This Row],[QUANTITY]]&gt;0, "YES", "NO")</f>
        <v>NO</v>
      </c>
      <c r="B185" s="27" t="s">
        <v>961</v>
      </c>
      <c r="C185" s="12" t="s">
        <v>28</v>
      </c>
      <c r="D185" s="12" t="s">
        <v>117</v>
      </c>
      <c r="E185" s="12" t="s">
        <v>53</v>
      </c>
      <c r="F185" s="12" t="s">
        <v>53</v>
      </c>
      <c r="G185" s="103" t="s">
        <v>15</v>
      </c>
      <c r="H185" s="103" t="s">
        <v>12</v>
      </c>
      <c r="I185" s="103">
        <v>0</v>
      </c>
      <c r="J185" s="103">
        <f>IFERROR(VLOOKUP(Table139159[[#This Row],[WORK ORDER]], '1. BUILDING ASSET INVENTORY'!A:K, 10, FALSE),0)</f>
        <v>0</v>
      </c>
      <c r="K185" s="102" t="str">
        <f>IFERROR(VLOOKUP(Table139159[[#This Row],[WORK ORDER]], '1. BUILDING ASSET INVENTORY'!A:L, 11, FALSE),"")</f>
        <v/>
      </c>
      <c r="L185" s="109"/>
      <c r="M185" s="197"/>
      <c r="N185" s="109">
        <f>Table139159[[#This Row],[OPERATOR HOURS (BASE)]]+Table139159[[#This Row],[QUANTITY]]*Table139159[[#This Row],[OPERATOR HOURS (PER UNIT)]]</f>
        <v>0</v>
      </c>
      <c r="O185" s="36">
        <f>'TABLE OF CONTENTS'!$K$34</f>
        <v>37.5</v>
      </c>
      <c r="P185" s="36">
        <f>Table139159[[#This Row],[TOTAL OPERATOR HOURS]]*Table139159[[#This Row],[OPERATOR RATE]]</f>
        <v>0</v>
      </c>
      <c r="Q185" s="15">
        <v>0</v>
      </c>
      <c r="R185" s="13">
        <v>0</v>
      </c>
      <c r="S185" s="13">
        <v>0</v>
      </c>
      <c r="T185" s="28"/>
      <c r="U185" s="37">
        <f>SUM(Table139159[[#This Row],[OPERATOR COST]:[UTILITIES]])*Table139159[[#This Row],[FREQUENCY   (TIMES PER YEAR)]]</f>
        <v>0</v>
      </c>
    </row>
    <row r="186" spans="1:21" hidden="1" x14ac:dyDescent="0.25">
      <c r="A186" s="98" t="str">
        <f>IF(Table139159[[#This Row],[QUANTITY]]&gt;0, "YES", "NO")</f>
        <v>NO</v>
      </c>
      <c r="B186" s="27" t="s">
        <v>960</v>
      </c>
      <c r="C186" s="12" t="s">
        <v>28</v>
      </c>
      <c r="D186" s="12" t="s">
        <v>117</v>
      </c>
      <c r="E186" s="12" t="s">
        <v>53</v>
      </c>
      <c r="F186" s="12" t="s">
        <v>53</v>
      </c>
      <c r="G186" s="103" t="s">
        <v>15</v>
      </c>
      <c r="H186" s="103" t="s">
        <v>12</v>
      </c>
      <c r="I186" s="103">
        <v>0</v>
      </c>
      <c r="J186" s="103">
        <f>IFERROR(VLOOKUP(Table139159[[#This Row],[WORK ORDER]], '1. BUILDING ASSET INVENTORY'!A:K, 10, FALSE),0)</f>
        <v>0</v>
      </c>
      <c r="K186" s="102" t="str">
        <f>IFERROR(VLOOKUP(Table139159[[#This Row],[WORK ORDER]], '1. BUILDING ASSET INVENTORY'!A:L, 11, FALSE),"")</f>
        <v/>
      </c>
      <c r="L186" s="109"/>
      <c r="M186" s="197"/>
      <c r="N186" s="109">
        <f>Table139159[[#This Row],[OPERATOR HOURS (BASE)]]+Table139159[[#This Row],[QUANTITY]]*Table139159[[#This Row],[OPERATOR HOURS (PER UNIT)]]</f>
        <v>0</v>
      </c>
      <c r="O186" s="36">
        <f>'TABLE OF CONTENTS'!$K$34</f>
        <v>37.5</v>
      </c>
      <c r="P186" s="36">
        <f>Table139159[[#This Row],[TOTAL OPERATOR HOURS]]*Table139159[[#This Row],[OPERATOR RATE]]</f>
        <v>0</v>
      </c>
      <c r="Q186" s="15">
        <v>0</v>
      </c>
      <c r="R186" s="13">
        <v>0</v>
      </c>
      <c r="S186" s="13">
        <v>0</v>
      </c>
      <c r="T186" s="28"/>
      <c r="U186" s="37">
        <f>SUM(Table139159[[#This Row],[OPERATOR COST]:[UTILITIES]])*Table139159[[#This Row],[FREQUENCY   (TIMES PER YEAR)]]</f>
        <v>0</v>
      </c>
    </row>
    <row r="187" spans="1:21" x14ac:dyDescent="0.25">
      <c r="A187" s="98" t="str">
        <f>IF(Table139159[[#This Row],[QUANTITY]]&gt;0, "YES", "NO")</f>
        <v>NO</v>
      </c>
      <c r="B187" s="27" t="s">
        <v>840</v>
      </c>
      <c r="C187" s="12" t="s">
        <v>28</v>
      </c>
      <c r="D187" s="12" t="s">
        <v>95</v>
      </c>
      <c r="E187" s="12" t="s">
        <v>276</v>
      </c>
      <c r="F187" s="12" t="s">
        <v>277</v>
      </c>
      <c r="G187" s="103" t="s">
        <v>204</v>
      </c>
      <c r="H187" s="103" t="s">
        <v>8</v>
      </c>
      <c r="I187" s="103">
        <v>1</v>
      </c>
      <c r="J187" s="103">
        <f>IFERROR(VLOOKUP(Table139159[[#This Row],[WORK ORDER]], '1. BUILDING ASSET INVENTORY'!A:K, 10, FALSE),0)</f>
        <v>0</v>
      </c>
      <c r="K187" s="102" t="str">
        <f>IFERROR(VLOOKUP(Table139159[[#This Row],[WORK ORDER]], '1. BUILDING ASSET INVENTORY'!A:L, 11, FALSE),"")</f>
        <v>m</v>
      </c>
      <c r="L187" s="109">
        <v>1</v>
      </c>
      <c r="M187" s="197">
        <v>0.2</v>
      </c>
      <c r="N187" s="109">
        <f>Table139159[[#This Row],[OPERATOR HOURS (BASE)]]+Table139159[[#This Row],[QUANTITY]]*Table139159[[#This Row],[OPERATOR HOURS (PER UNIT)]]</f>
        <v>1</v>
      </c>
      <c r="O187" s="36">
        <f>'TABLE OF CONTENTS'!$K$34</f>
        <v>37.5</v>
      </c>
      <c r="P187" s="36">
        <f>Table139159[[#This Row],[TOTAL OPERATOR HOURS]]*Table139159[[#This Row],[OPERATOR RATE]]</f>
        <v>37.5</v>
      </c>
      <c r="Q187" s="15">
        <v>0</v>
      </c>
      <c r="R187" s="13">
        <v>0</v>
      </c>
      <c r="S187" s="13">
        <v>0</v>
      </c>
      <c r="T187" s="28"/>
      <c r="U187" s="37">
        <f>SUM(Table139159[[#This Row],[OPERATOR COST]:[UTILITIES]])*Table139159[[#This Row],[FREQUENCY   (TIMES PER YEAR)]]</f>
        <v>37.5</v>
      </c>
    </row>
    <row r="188" spans="1:21" x14ac:dyDescent="0.25">
      <c r="A188" s="98" t="str">
        <f>IF(Table139159[[#This Row],[QUANTITY]]&gt;0, "YES", "NO")</f>
        <v>NO</v>
      </c>
      <c r="B188" s="27" t="s">
        <v>841</v>
      </c>
      <c r="C188" s="12" t="s">
        <v>28</v>
      </c>
      <c r="D188" s="12" t="s">
        <v>95</v>
      </c>
      <c r="E188" s="12" t="s">
        <v>305</v>
      </c>
      <c r="F188" s="12" t="s">
        <v>278</v>
      </c>
      <c r="G188" s="103" t="s">
        <v>204</v>
      </c>
      <c r="H188" s="103" t="s">
        <v>12</v>
      </c>
      <c r="I188" s="103">
        <v>2</v>
      </c>
      <c r="J188" s="103">
        <f>IFERROR(VLOOKUP(Table139159[[#This Row],[WORK ORDER]], '1. BUILDING ASSET INVENTORY'!A:K, 10, FALSE),0)</f>
        <v>0</v>
      </c>
      <c r="K188" s="102" t="str">
        <f>IFERROR(VLOOKUP(Table139159[[#This Row],[WORK ORDER]], '1. BUILDING ASSET INVENTORY'!A:L, 11, FALSE),"")</f>
        <v>Each</v>
      </c>
      <c r="L188" s="109">
        <v>1</v>
      </c>
      <c r="M188" s="197">
        <v>2</v>
      </c>
      <c r="N188" s="109">
        <f>Table139159[[#This Row],[OPERATOR HOURS (BASE)]]+Table139159[[#This Row],[QUANTITY]]*Table139159[[#This Row],[OPERATOR HOURS (PER UNIT)]]</f>
        <v>1</v>
      </c>
      <c r="O188" s="36">
        <f>'TABLE OF CONTENTS'!$K$34</f>
        <v>37.5</v>
      </c>
      <c r="P188" s="36">
        <f>Table139159[[#This Row],[TOTAL OPERATOR HOURS]]*Table139159[[#This Row],[OPERATOR RATE]]</f>
        <v>37.5</v>
      </c>
      <c r="Q188" s="14">
        <v>0</v>
      </c>
      <c r="R188" s="13">
        <v>0</v>
      </c>
      <c r="S188" s="13">
        <v>30</v>
      </c>
      <c r="T188" s="28"/>
      <c r="U188" s="37">
        <f>SUM(Table139159[[#This Row],[OPERATOR COST]:[UTILITIES]])*Table139159[[#This Row],[FREQUENCY   (TIMES PER YEAR)]]</f>
        <v>135</v>
      </c>
    </row>
    <row r="189" spans="1:21" hidden="1" x14ac:dyDescent="0.25">
      <c r="A189" s="98" t="str">
        <f>IF(Table139159[[#This Row],[QUANTITY]]&gt;0, "YES", "NO")</f>
        <v>NO</v>
      </c>
      <c r="B189" s="27" t="s">
        <v>959</v>
      </c>
      <c r="C189" s="12" t="s">
        <v>28</v>
      </c>
      <c r="D189" s="12" t="s">
        <v>95</v>
      </c>
      <c r="E189" s="12" t="s">
        <v>53</v>
      </c>
      <c r="F189" s="12" t="s">
        <v>53</v>
      </c>
      <c r="G189" s="103" t="s">
        <v>15</v>
      </c>
      <c r="H189" s="103" t="s">
        <v>12</v>
      </c>
      <c r="I189" s="103">
        <v>0</v>
      </c>
      <c r="J189" s="103">
        <f>IFERROR(VLOOKUP(Table139159[[#This Row],[WORK ORDER]], '1. BUILDING ASSET INVENTORY'!A:K, 10, FALSE),0)</f>
        <v>0</v>
      </c>
      <c r="K189" s="102" t="str">
        <f>IFERROR(VLOOKUP(Table139159[[#This Row],[WORK ORDER]], '1. BUILDING ASSET INVENTORY'!A:L, 11, FALSE),"")</f>
        <v/>
      </c>
      <c r="L189" s="109"/>
      <c r="M189" s="197"/>
      <c r="N189" s="109">
        <f>Table139159[[#This Row],[OPERATOR HOURS (BASE)]]+Table139159[[#This Row],[QUANTITY]]*Table139159[[#This Row],[OPERATOR HOURS (PER UNIT)]]</f>
        <v>0</v>
      </c>
      <c r="O189" s="36">
        <f>'TABLE OF CONTENTS'!$K$34</f>
        <v>37.5</v>
      </c>
      <c r="P189" s="36">
        <f>Table139159[[#This Row],[TOTAL OPERATOR HOURS]]*Table139159[[#This Row],[OPERATOR RATE]]</f>
        <v>0</v>
      </c>
      <c r="Q189" s="15">
        <v>0</v>
      </c>
      <c r="R189" s="13">
        <v>0</v>
      </c>
      <c r="S189" s="13">
        <v>0</v>
      </c>
      <c r="T189" s="28"/>
      <c r="U189" s="37">
        <f>SUM(Table139159[[#This Row],[OPERATOR COST]:[UTILITIES]])*Table139159[[#This Row],[FREQUENCY   (TIMES PER YEAR)]]</f>
        <v>0</v>
      </c>
    </row>
    <row r="190" spans="1:21" hidden="1" x14ac:dyDescent="0.25">
      <c r="A190" s="98" t="str">
        <f>IF(Table139159[[#This Row],[QUANTITY]]&gt;0, "YES", "NO")</f>
        <v>NO</v>
      </c>
      <c r="B190" s="27" t="s">
        <v>958</v>
      </c>
      <c r="C190" s="12" t="s">
        <v>28</v>
      </c>
      <c r="D190" s="12" t="s">
        <v>95</v>
      </c>
      <c r="E190" s="12" t="s">
        <v>53</v>
      </c>
      <c r="F190" s="12" t="s">
        <v>53</v>
      </c>
      <c r="G190" s="103" t="s">
        <v>15</v>
      </c>
      <c r="H190" s="103" t="s">
        <v>12</v>
      </c>
      <c r="I190" s="103">
        <v>0</v>
      </c>
      <c r="J190" s="103">
        <f>IFERROR(VLOOKUP(Table139159[[#This Row],[WORK ORDER]], '1. BUILDING ASSET INVENTORY'!A:K, 10, FALSE),0)</f>
        <v>0</v>
      </c>
      <c r="K190" s="102" t="str">
        <f>IFERROR(VLOOKUP(Table139159[[#This Row],[WORK ORDER]], '1. BUILDING ASSET INVENTORY'!A:L, 11, FALSE),"")</f>
        <v/>
      </c>
      <c r="L190" s="109"/>
      <c r="M190" s="197"/>
      <c r="N190" s="109">
        <f>Table139159[[#This Row],[OPERATOR HOURS (BASE)]]+Table139159[[#This Row],[QUANTITY]]*Table139159[[#This Row],[OPERATOR HOURS (PER UNIT)]]</f>
        <v>0</v>
      </c>
      <c r="O190" s="36">
        <f>'TABLE OF CONTENTS'!$K$34</f>
        <v>37.5</v>
      </c>
      <c r="P190" s="36">
        <f>Table139159[[#This Row],[TOTAL OPERATOR HOURS]]*Table139159[[#This Row],[OPERATOR RATE]]</f>
        <v>0</v>
      </c>
      <c r="Q190" s="15">
        <v>0</v>
      </c>
      <c r="R190" s="13">
        <v>0</v>
      </c>
      <c r="S190" s="13">
        <v>0</v>
      </c>
      <c r="T190" s="28"/>
      <c r="U190" s="37">
        <f>SUM(Table139159[[#This Row],[OPERATOR COST]:[UTILITIES]])*Table139159[[#This Row],[FREQUENCY   (TIMES PER YEAR)]]</f>
        <v>0</v>
      </c>
    </row>
    <row r="191" spans="1:21" hidden="1" x14ac:dyDescent="0.25">
      <c r="A191" s="98" t="str">
        <f>IF(Table139159[[#This Row],[QUANTITY]]&gt;0, "YES", "NO")</f>
        <v>NO</v>
      </c>
      <c r="B191" s="27" t="s">
        <v>957</v>
      </c>
      <c r="C191" s="12" t="s">
        <v>28</v>
      </c>
      <c r="D191" s="12" t="s">
        <v>95</v>
      </c>
      <c r="E191" s="12" t="s">
        <v>53</v>
      </c>
      <c r="F191" s="12" t="s">
        <v>53</v>
      </c>
      <c r="G191" s="103" t="s">
        <v>15</v>
      </c>
      <c r="H191" s="103" t="s">
        <v>12</v>
      </c>
      <c r="I191" s="103">
        <v>0</v>
      </c>
      <c r="J191" s="103">
        <f>IFERROR(VLOOKUP(Table139159[[#This Row],[WORK ORDER]], '1. BUILDING ASSET INVENTORY'!A:K, 10, FALSE),0)</f>
        <v>0</v>
      </c>
      <c r="K191" s="102" t="str">
        <f>IFERROR(VLOOKUP(Table139159[[#This Row],[WORK ORDER]], '1. BUILDING ASSET INVENTORY'!A:L, 11, FALSE),"")</f>
        <v/>
      </c>
      <c r="L191" s="109"/>
      <c r="M191" s="197"/>
      <c r="N191" s="109">
        <f>Table139159[[#This Row],[OPERATOR HOURS (BASE)]]+Table139159[[#This Row],[QUANTITY]]*Table139159[[#This Row],[OPERATOR HOURS (PER UNIT)]]</f>
        <v>0</v>
      </c>
      <c r="O191" s="36">
        <f>'TABLE OF CONTENTS'!$K$34</f>
        <v>37.5</v>
      </c>
      <c r="P191" s="36">
        <f>Table139159[[#This Row],[TOTAL OPERATOR HOURS]]*Table139159[[#This Row],[OPERATOR RATE]]</f>
        <v>0</v>
      </c>
      <c r="Q191" s="15">
        <v>0</v>
      </c>
      <c r="R191" s="13">
        <v>0</v>
      </c>
      <c r="S191" s="13">
        <v>0</v>
      </c>
      <c r="T191" s="28"/>
      <c r="U191" s="37">
        <f>SUM(Table139159[[#This Row],[OPERATOR COST]:[UTILITIES]])*Table139159[[#This Row],[FREQUENCY   (TIMES PER YEAR)]]</f>
        <v>0</v>
      </c>
    </row>
    <row r="192" spans="1:21" hidden="1" x14ac:dyDescent="0.25">
      <c r="A192" s="98" t="str">
        <f>IF(Table139159[[#This Row],[QUANTITY]]&gt;0, "YES", "NO")</f>
        <v>NO</v>
      </c>
      <c r="B192" s="27" t="s">
        <v>956</v>
      </c>
      <c r="C192" s="12" t="s">
        <v>28</v>
      </c>
      <c r="D192" s="12" t="s">
        <v>95</v>
      </c>
      <c r="E192" s="12" t="s">
        <v>53</v>
      </c>
      <c r="F192" s="12" t="s">
        <v>53</v>
      </c>
      <c r="G192" s="103" t="s">
        <v>15</v>
      </c>
      <c r="H192" s="103" t="s">
        <v>12</v>
      </c>
      <c r="I192" s="103">
        <v>0</v>
      </c>
      <c r="J192" s="103">
        <f>IFERROR(VLOOKUP(Table139159[[#This Row],[WORK ORDER]], '1. BUILDING ASSET INVENTORY'!A:K, 10, FALSE),0)</f>
        <v>0</v>
      </c>
      <c r="K192" s="102" t="str">
        <f>IFERROR(VLOOKUP(Table139159[[#This Row],[WORK ORDER]], '1. BUILDING ASSET INVENTORY'!A:L, 11, FALSE),"")</f>
        <v/>
      </c>
      <c r="L192" s="109"/>
      <c r="M192" s="197"/>
      <c r="N192" s="109">
        <f>Table139159[[#This Row],[OPERATOR HOURS (BASE)]]+Table139159[[#This Row],[QUANTITY]]*Table139159[[#This Row],[OPERATOR HOURS (PER UNIT)]]</f>
        <v>0</v>
      </c>
      <c r="O192" s="36">
        <f>'TABLE OF CONTENTS'!$K$34</f>
        <v>37.5</v>
      </c>
      <c r="P192" s="36">
        <f>Table139159[[#This Row],[TOTAL OPERATOR HOURS]]*Table139159[[#This Row],[OPERATOR RATE]]</f>
        <v>0</v>
      </c>
      <c r="Q192" s="15">
        <v>0</v>
      </c>
      <c r="R192" s="13">
        <v>0</v>
      </c>
      <c r="S192" s="13">
        <v>0</v>
      </c>
      <c r="T192" s="28"/>
      <c r="U192" s="37">
        <f>SUM(Table139159[[#This Row],[OPERATOR COST]:[UTILITIES]])*Table139159[[#This Row],[FREQUENCY   (TIMES PER YEAR)]]</f>
        <v>0</v>
      </c>
    </row>
    <row r="193" spans="1:21" ht="30" x14ac:dyDescent="0.25">
      <c r="A193" s="98" t="str">
        <f>IF(Table139159[[#This Row],[QUANTITY]]&gt;0, "YES", "NO")</f>
        <v>NO</v>
      </c>
      <c r="B193" s="27" t="s">
        <v>842</v>
      </c>
      <c r="C193" s="12" t="s">
        <v>28</v>
      </c>
      <c r="D193" s="12" t="s">
        <v>96</v>
      </c>
      <c r="E193" s="12" t="s">
        <v>91</v>
      </c>
      <c r="F193" s="12" t="s">
        <v>279</v>
      </c>
      <c r="G193" s="103" t="s">
        <v>204</v>
      </c>
      <c r="H193" s="103" t="s">
        <v>12</v>
      </c>
      <c r="I193" s="103">
        <v>1</v>
      </c>
      <c r="J193" s="103">
        <f>IFERROR(VLOOKUP(Table139159[[#This Row],[WORK ORDER]], '1. BUILDING ASSET INVENTORY'!A:K, 10, FALSE),0)</f>
        <v>0</v>
      </c>
      <c r="K193" s="102" t="str">
        <f>IFERROR(VLOOKUP(Table139159[[#This Row],[WORK ORDER]], '1. BUILDING ASSET INVENTORY'!A:L, 11, FALSE),"")</f>
        <v>Each</v>
      </c>
      <c r="L193" s="109">
        <v>1</v>
      </c>
      <c r="M193" s="197">
        <v>2</v>
      </c>
      <c r="N193" s="109">
        <f>Table139159[[#This Row],[OPERATOR HOURS (BASE)]]+Table139159[[#This Row],[QUANTITY]]*Table139159[[#This Row],[OPERATOR HOURS (PER UNIT)]]</f>
        <v>1</v>
      </c>
      <c r="O193" s="36">
        <f>'TABLE OF CONTENTS'!$K$34</f>
        <v>37.5</v>
      </c>
      <c r="P193" s="36">
        <f>Table139159[[#This Row],[TOTAL OPERATOR HOURS]]*Table139159[[#This Row],[OPERATOR RATE]]</f>
        <v>37.5</v>
      </c>
      <c r="Q193" s="14">
        <f>PRODUCT(Table139159[[#This Row],[QUANTITY]],200)</f>
        <v>0</v>
      </c>
      <c r="R193" s="13">
        <v>0</v>
      </c>
      <c r="S193" s="13">
        <v>0</v>
      </c>
      <c r="T193" s="28"/>
      <c r="U193" s="37">
        <f>SUM(Table139159[[#This Row],[OPERATOR COST]:[UTILITIES]])*Table139159[[#This Row],[FREQUENCY   (TIMES PER YEAR)]]</f>
        <v>37.5</v>
      </c>
    </row>
    <row r="194" spans="1:21" ht="30" x14ac:dyDescent="0.25">
      <c r="A194" s="98" t="str">
        <f>IF(Table139159[[#This Row],[QUANTITY]]&gt;0, "YES", "NO")</f>
        <v>NO</v>
      </c>
      <c r="B194" s="27" t="s">
        <v>843</v>
      </c>
      <c r="C194" s="12" t="s">
        <v>28</v>
      </c>
      <c r="D194" s="12" t="s">
        <v>96</v>
      </c>
      <c r="E194" s="12" t="s">
        <v>131</v>
      </c>
      <c r="F194" s="12" t="s">
        <v>280</v>
      </c>
      <c r="G194" s="103" t="s">
        <v>204</v>
      </c>
      <c r="H194" s="103" t="s">
        <v>12</v>
      </c>
      <c r="I194" s="103">
        <v>1</v>
      </c>
      <c r="J194" s="103">
        <f>IFERROR(VLOOKUP(Table139159[[#This Row],[WORK ORDER]], '1. BUILDING ASSET INVENTORY'!A:K, 10, FALSE),0)</f>
        <v>0</v>
      </c>
      <c r="K194" s="102" t="str">
        <f>IFERROR(VLOOKUP(Table139159[[#This Row],[WORK ORDER]], '1. BUILDING ASSET INVENTORY'!A:L, 11, FALSE),"")</f>
        <v>Each</v>
      </c>
      <c r="L194" s="109">
        <v>1</v>
      </c>
      <c r="M194" s="197">
        <v>2</v>
      </c>
      <c r="N194" s="109">
        <f>Table139159[[#This Row],[OPERATOR HOURS (BASE)]]+Table139159[[#This Row],[QUANTITY]]*Table139159[[#This Row],[OPERATOR HOURS (PER UNIT)]]</f>
        <v>1</v>
      </c>
      <c r="O194" s="36">
        <f>'TABLE OF CONTENTS'!$K$34</f>
        <v>37.5</v>
      </c>
      <c r="P194" s="36">
        <f>Table139159[[#This Row],[TOTAL OPERATOR HOURS]]*Table139159[[#This Row],[OPERATOR RATE]]</f>
        <v>37.5</v>
      </c>
      <c r="Q194" s="15">
        <v>0</v>
      </c>
      <c r="R194" s="13">
        <v>0</v>
      </c>
      <c r="S194" s="13">
        <v>100</v>
      </c>
      <c r="T194" s="28"/>
      <c r="U194" s="37">
        <f>SUM(Table139159[[#This Row],[OPERATOR COST]:[UTILITIES]])*Table139159[[#This Row],[FREQUENCY   (TIMES PER YEAR)]]</f>
        <v>137.5</v>
      </c>
    </row>
    <row r="195" spans="1:21" ht="30" x14ac:dyDescent="0.25">
      <c r="A195" s="98" t="str">
        <f>IF(Table139159[[#This Row],[QUANTITY]]&gt;0, "YES", "NO")</f>
        <v>NO</v>
      </c>
      <c r="B195" s="27" t="s">
        <v>844</v>
      </c>
      <c r="C195" s="12" t="s">
        <v>28</v>
      </c>
      <c r="D195" s="12" t="s">
        <v>96</v>
      </c>
      <c r="E195" s="12" t="s">
        <v>92</v>
      </c>
      <c r="F195" s="12" t="s">
        <v>281</v>
      </c>
      <c r="G195" s="103" t="s">
        <v>204</v>
      </c>
      <c r="H195" s="103" t="s">
        <v>8</v>
      </c>
      <c r="I195" s="103">
        <v>1</v>
      </c>
      <c r="J195" s="103">
        <f>IFERROR(VLOOKUP(Table139159[[#This Row],[WORK ORDER]], '1. BUILDING ASSET INVENTORY'!A:K, 10, FALSE),0)</f>
        <v>0</v>
      </c>
      <c r="K195" s="102" t="str">
        <f>IFERROR(VLOOKUP(Table139159[[#This Row],[WORK ORDER]], '1. BUILDING ASSET INVENTORY'!A:L, 11, FALSE),"")</f>
        <v>Each</v>
      </c>
      <c r="L195" s="109">
        <v>1</v>
      </c>
      <c r="M195" s="197">
        <v>2</v>
      </c>
      <c r="N195" s="109">
        <f>Table139159[[#This Row],[OPERATOR HOURS (BASE)]]+Table139159[[#This Row],[QUANTITY]]*Table139159[[#This Row],[OPERATOR HOURS (PER UNIT)]]</f>
        <v>1</v>
      </c>
      <c r="O195" s="36">
        <f>'TABLE OF CONTENTS'!$K$34</f>
        <v>37.5</v>
      </c>
      <c r="P195" s="36">
        <f>Table139159[[#This Row],[TOTAL OPERATOR HOURS]]*Table139159[[#This Row],[OPERATOR RATE]]</f>
        <v>37.5</v>
      </c>
      <c r="Q195" s="15">
        <v>0</v>
      </c>
      <c r="R195" s="13">
        <v>0</v>
      </c>
      <c r="S195" s="13">
        <v>0</v>
      </c>
      <c r="T195" s="28"/>
      <c r="U195" s="37">
        <f>SUM(Table139159[[#This Row],[OPERATOR COST]:[UTILITIES]])*Table139159[[#This Row],[FREQUENCY   (TIMES PER YEAR)]]</f>
        <v>37.5</v>
      </c>
    </row>
    <row r="196" spans="1:21" ht="30" hidden="1" x14ac:dyDescent="0.25">
      <c r="A196" s="98" t="str">
        <f>IF(Table139159[[#This Row],[QUANTITY]]&gt;0, "YES", "NO")</f>
        <v>NO</v>
      </c>
      <c r="B196" s="27" t="s">
        <v>955</v>
      </c>
      <c r="C196" s="12" t="s">
        <v>28</v>
      </c>
      <c r="D196" s="12" t="s">
        <v>96</v>
      </c>
      <c r="E196" s="12" t="s">
        <v>53</v>
      </c>
      <c r="F196" s="12" t="s">
        <v>53</v>
      </c>
      <c r="G196" s="103" t="s">
        <v>15</v>
      </c>
      <c r="H196" s="103" t="s">
        <v>12</v>
      </c>
      <c r="I196" s="103">
        <v>0</v>
      </c>
      <c r="J196" s="103">
        <f>IFERROR(VLOOKUP(Table139159[[#This Row],[WORK ORDER]], '1. BUILDING ASSET INVENTORY'!A:K, 10, FALSE),0)</f>
        <v>0</v>
      </c>
      <c r="K196" s="102" t="str">
        <f>IFERROR(VLOOKUP(Table139159[[#This Row],[WORK ORDER]], '1. BUILDING ASSET INVENTORY'!A:L, 11, FALSE),"")</f>
        <v/>
      </c>
      <c r="L196" s="109"/>
      <c r="M196" s="197"/>
      <c r="N196" s="109">
        <f>Table139159[[#This Row],[OPERATOR HOURS (BASE)]]+Table139159[[#This Row],[QUANTITY]]*Table139159[[#This Row],[OPERATOR HOURS (PER UNIT)]]</f>
        <v>0</v>
      </c>
      <c r="O196" s="36">
        <f>'TABLE OF CONTENTS'!$K$34</f>
        <v>37.5</v>
      </c>
      <c r="P196" s="36">
        <f>Table139159[[#This Row],[TOTAL OPERATOR HOURS]]*Table139159[[#This Row],[OPERATOR RATE]]</f>
        <v>0</v>
      </c>
      <c r="Q196" s="15">
        <v>0</v>
      </c>
      <c r="R196" s="13">
        <v>0</v>
      </c>
      <c r="S196" s="13">
        <v>0</v>
      </c>
      <c r="T196" s="28"/>
      <c r="U196" s="37">
        <f>SUM(Table139159[[#This Row],[OPERATOR COST]:[UTILITIES]])*Table139159[[#This Row],[FREQUENCY   (TIMES PER YEAR)]]</f>
        <v>0</v>
      </c>
    </row>
    <row r="197" spans="1:21" ht="30" hidden="1" x14ac:dyDescent="0.25">
      <c r="A197" s="98" t="str">
        <f>IF(Table139159[[#This Row],[QUANTITY]]&gt;0, "YES", "NO")</f>
        <v>NO</v>
      </c>
      <c r="B197" s="27" t="s">
        <v>954</v>
      </c>
      <c r="C197" s="12" t="s">
        <v>28</v>
      </c>
      <c r="D197" s="12" t="s">
        <v>96</v>
      </c>
      <c r="E197" s="12" t="s">
        <v>53</v>
      </c>
      <c r="F197" s="12" t="s">
        <v>53</v>
      </c>
      <c r="G197" s="103" t="s">
        <v>15</v>
      </c>
      <c r="H197" s="103" t="s">
        <v>12</v>
      </c>
      <c r="I197" s="103">
        <v>0</v>
      </c>
      <c r="J197" s="103">
        <f>IFERROR(VLOOKUP(Table139159[[#This Row],[WORK ORDER]], '1. BUILDING ASSET INVENTORY'!A:K, 10, FALSE),0)</f>
        <v>0</v>
      </c>
      <c r="K197" s="102" t="str">
        <f>IFERROR(VLOOKUP(Table139159[[#This Row],[WORK ORDER]], '1. BUILDING ASSET INVENTORY'!A:L, 11, FALSE),"")</f>
        <v/>
      </c>
      <c r="L197" s="109"/>
      <c r="M197" s="197"/>
      <c r="N197" s="109">
        <f>Table139159[[#This Row],[OPERATOR HOURS (BASE)]]+Table139159[[#This Row],[QUANTITY]]*Table139159[[#This Row],[OPERATOR HOURS (PER UNIT)]]</f>
        <v>0</v>
      </c>
      <c r="O197" s="36">
        <f>'TABLE OF CONTENTS'!$K$34</f>
        <v>37.5</v>
      </c>
      <c r="P197" s="36">
        <f>Table139159[[#This Row],[TOTAL OPERATOR HOURS]]*Table139159[[#This Row],[OPERATOR RATE]]</f>
        <v>0</v>
      </c>
      <c r="Q197" s="15">
        <v>0</v>
      </c>
      <c r="R197" s="13">
        <v>0</v>
      </c>
      <c r="S197" s="13">
        <v>0</v>
      </c>
      <c r="T197" s="28"/>
      <c r="U197" s="37">
        <f>SUM(Table139159[[#This Row],[OPERATOR COST]:[UTILITIES]])*Table139159[[#This Row],[FREQUENCY   (TIMES PER YEAR)]]</f>
        <v>0</v>
      </c>
    </row>
    <row r="198" spans="1:21" ht="30" hidden="1" x14ac:dyDescent="0.25">
      <c r="A198" s="98" t="str">
        <f>IF(Table139159[[#This Row],[QUANTITY]]&gt;0, "YES", "NO")</f>
        <v>NO</v>
      </c>
      <c r="B198" s="27" t="s">
        <v>953</v>
      </c>
      <c r="C198" s="12" t="s">
        <v>28</v>
      </c>
      <c r="D198" s="12" t="s">
        <v>96</v>
      </c>
      <c r="E198" s="12" t="s">
        <v>53</v>
      </c>
      <c r="F198" s="12" t="s">
        <v>53</v>
      </c>
      <c r="G198" s="103" t="s">
        <v>15</v>
      </c>
      <c r="H198" s="103" t="s">
        <v>12</v>
      </c>
      <c r="I198" s="103">
        <v>0</v>
      </c>
      <c r="J198" s="103">
        <f>IFERROR(VLOOKUP(Table139159[[#This Row],[WORK ORDER]], '1. BUILDING ASSET INVENTORY'!A:K, 10, FALSE),0)</f>
        <v>0</v>
      </c>
      <c r="K198" s="102" t="str">
        <f>IFERROR(VLOOKUP(Table139159[[#This Row],[WORK ORDER]], '1. BUILDING ASSET INVENTORY'!A:L, 11, FALSE),"")</f>
        <v/>
      </c>
      <c r="L198" s="109"/>
      <c r="M198" s="197"/>
      <c r="N198" s="109">
        <f>Table139159[[#This Row],[OPERATOR HOURS (BASE)]]+Table139159[[#This Row],[QUANTITY]]*Table139159[[#This Row],[OPERATOR HOURS (PER UNIT)]]</f>
        <v>0</v>
      </c>
      <c r="O198" s="36">
        <f>'TABLE OF CONTENTS'!$K$34</f>
        <v>37.5</v>
      </c>
      <c r="P198" s="36">
        <f>Table139159[[#This Row],[TOTAL OPERATOR HOURS]]*Table139159[[#This Row],[OPERATOR RATE]]</f>
        <v>0</v>
      </c>
      <c r="Q198" s="15">
        <v>0</v>
      </c>
      <c r="R198" s="13">
        <v>0</v>
      </c>
      <c r="S198" s="13">
        <v>0</v>
      </c>
      <c r="T198" s="28"/>
      <c r="U198" s="37">
        <f>SUM(Table139159[[#This Row],[OPERATOR COST]:[UTILITIES]])*Table139159[[#This Row],[FREQUENCY   (TIMES PER YEAR)]]</f>
        <v>0</v>
      </c>
    </row>
    <row r="199" spans="1:21" ht="30" hidden="1" x14ac:dyDescent="0.25">
      <c r="A199" s="98" t="str">
        <f>IF(Table139159[[#This Row],[QUANTITY]]&gt;0, "YES", "NO")</f>
        <v>NO</v>
      </c>
      <c r="B199" s="27" t="s">
        <v>865</v>
      </c>
      <c r="C199" s="12" t="s">
        <v>28</v>
      </c>
      <c r="D199" s="12" t="s">
        <v>287</v>
      </c>
      <c r="E199" s="12" t="s">
        <v>288</v>
      </c>
      <c r="F199" s="12" t="s">
        <v>289</v>
      </c>
      <c r="G199" s="103" t="s">
        <v>217</v>
      </c>
      <c r="H199" s="103" t="s">
        <v>132</v>
      </c>
      <c r="I199" s="103">
        <f>1/10</f>
        <v>0.1</v>
      </c>
      <c r="J199" s="103">
        <f>IFERROR(VLOOKUP(Table139159[[#This Row],[WORK ORDER]], '1. BUILDING ASSET INVENTORY'!A:K, 10, FALSE),0)</f>
        <v>0</v>
      </c>
      <c r="K199" s="102" t="str">
        <f>IFERROR(VLOOKUP(Table139159[[#This Row],[WORK ORDER]], '1. BUILDING ASSET INVENTORY'!A:L, 11, FALSE),"")</f>
        <v>Each</v>
      </c>
      <c r="L199" s="109">
        <v>1</v>
      </c>
      <c r="M199" s="197">
        <v>2</v>
      </c>
      <c r="N199" s="109">
        <f>Table139159[[#This Row],[OPERATOR HOURS (BASE)]]+Table139159[[#This Row],[QUANTITY]]*Table139159[[#This Row],[OPERATOR HOURS (PER UNIT)]]</f>
        <v>1</v>
      </c>
      <c r="O199" s="36">
        <f>'TABLE OF CONTENTS'!$K$34</f>
        <v>37.5</v>
      </c>
      <c r="P199" s="36">
        <f>Table139159[[#This Row],[TOTAL OPERATOR HOURS]]*Table139159[[#This Row],[OPERATOR RATE]]</f>
        <v>37.5</v>
      </c>
      <c r="Q199" s="15">
        <f>PRODUCT(Table139159[[#This Row],[QUANTITY]],600)</f>
        <v>0</v>
      </c>
      <c r="R199" s="13">
        <v>0</v>
      </c>
      <c r="S199" s="13">
        <v>100</v>
      </c>
      <c r="T199" s="28"/>
      <c r="U199" s="37">
        <f>SUM(Table139159[[#This Row],[OPERATOR COST]:[UTILITIES]])*Table139159[[#This Row],[FREQUENCY   (TIMES PER YEAR)]]</f>
        <v>13.75</v>
      </c>
    </row>
    <row r="200" spans="1:21" ht="30" x14ac:dyDescent="0.25">
      <c r="A200" s="98" t="str">
        <f>IF(Table139159[[#This Row],[QUANTITY]]&gt;0, "YES", "NO")</f>
        <v>NO</v>
      </c>
      <c r="B200" s="27" t="s">
        <v>845</v>
      </c>
      <c r="C200" s="12" t="s">
        <v>28</v>
      </c>
      <c r="D200" s="12" t="s">
        <v>287</v>
      </c>
      <c r="E200" s="12" t="s">
        <v>288</v>
      </c>
      <c r="F200" s="12" t="s">
        <v>290</v>
      </c>
      <c r="G200" s="103" t="s">
        <v>204</v>
      </c>
      <c r="H200" s="103" t="s">
        <v>12</v>
      </c>
      <c r="I200" s="103">
        <v>3</v>
      </c>
      <c r="J200" s="103">
        <f>IFERROR(VLOOKUP(Table139159[[#This Row],[WORK ORDER]], '1. BUILDING ASSET INVENTORY'!A:K, 10, FALSE),0)</f>
        <v>0</v>
      </c>
      <c r="K200" s="102" t="str">
        <f>IFERROR(VLOOKUP(Table139159[[#This Row],[WORK ORDER]], '1. BUILDING ASSET INVENTORY'!A:L, 11, FALSE),"")</f>
        <v>Each</v>
      </c>
      <c r="L200" s="109">
        <v>1</v>
      </c>
      <c r="M200" s="197">
        <v>2</v>
      </c>
      <c r="N200" s="109">
        <f>Table139159[[#This Row],[OPERATOR HOURS (BASE)]]+Table139159[[#This Row],[QUANTITY]]*Table139159[[#This Row],[OPERATOR HOURS (PER UNIT)]]</f>
        <v>1</v>
      </c>
      <c r="O200" s="36">
        <f>'TABLE OF CONTENTS'!$K$34</f>
        <v>37.5</v>
      </c>
      <c r="P200" s="36">
        <f>Table139159[[#This Row],[TOTAL OPERATOR HOURS]]*Table139159[[#This Row],[OPERATOR RATE]]</f>
        <v>37.5</v>
      </c>
      <c r="Q200" s="15">
        <f>PRODUCT(Table139159[[#This Row],[QUANTITY]],600)</f>
        <v>0</v>
      </c>
      <c r="R200" s="13">
        <v>0</v>
      </c>
      <c r="S200" s="13">
        <v>500</v>
      </c>
      <c r="T200" s="28"/>
      <c r="U200" s="37">
        <f>SUM(Table139159[[#This Row],[OPERATOR COST]:[UTILITIES]])*Table139159[[#This Row],[FREQUENCY   (TIMES PER YEAR)]]</f>
        <v>1612.5</v>
      </c>
    </row>
    <row r="201" spans="1:21" ht="30" hidden="1" x14ac:dyDescent="0.25">
      <c r="A201" s="98" t="str">
        <f>IF(Table139159[[#This Row],[QUANTITY]]&gt;0, "YES", "NO")</f>
        <v>NO</v>
      </c>
      <c r="B201" s="27" t="s">
        <v>952</v>
      </c>
      <c r="C201" s="12" t="s">
        <v>28</v>
      </c>
      <c r="D201" s="12" t="s">
        <v>287</v>
      </c>
      <c r="E201" s="12" t="s">
        <v>288</v>
      </c>
      <c r="F201" s="12" t="s">
        <v>53</v>
      </c>
      <c r="G201" s="103" t="s">
        <v>15</v>
      </c>
      <c r="H201" s="103" t="s">
        <v>12</v>
      </c>
      <c r="I201" s="103">
        <v>0</v>
      </c>
      <c r="J201" s="103">
        <f>IFERROR(VLOOKUP(Table139159[[#This Row],[WORK ORDER]], '1. BUILDING ASSET INVENTORY'!A:K, 10, FALSE),0)</f>
        <v>0</v>
      </c>
      <c r="K201" s="102" t="str">
        <f>IFERROR(VLOOKUP(Table139159[[#This Row],[WORK ORDER]], '1. BUILDING ASSET INVENTORY'!A:L, 11, FALSE),"")</f>
        <v/>
      </c>
      <c r="L201" s="109"/>
      <c r="M201" s="197"/>
      <c r="N201" s="109">
        <f>Table139159[[#This Row],[OPERATOR HOURS (BASE)]]+Table139159[[#This Row],[QUANTITY]]*Table139159[[#This Row],[OPERATOR HOURS (PER UNIT)]]</f>
        <v>0</v>
      </c>
      <c r="O201" s="36">
        <f>'TABLE OF CONTENTS'!$K$34</f>
        <v>37.5</v>
      </c>
      <c r="P201" s="36">
        <f>Table139159[[#This Row],[TOTAL OPERATOR HOURS]]*Table139159[[#This Row],[OPERATOR RATE]]</f>
        <v>0</v>
      </c>
      <c r="Q201" s="14">
        <v>0</v>
      </c>
      <c r="R201" s="13">
        <v>0</v>
      </c>
      <c r="S201" s="13">
        <v>0</v>
      </c>
      <c r="T201" s="28"/>
      <c r="U201" s="37">
        <f>SUM(Table139159[[#This Row],[OPERATOR COST]:[UTILITIES]])*Table139159[[#This Row],[FREQUENCY   (TIMES PER YEAR)]]</f>
        <v>0</v>
      </c>
    </row>
    <row r="202" spans="1:21" ht="30" hidden="1" x14ac:dyDescent="0.25">
      <c r="A202" s="98" t="str">
        <f>IF(Table139159[[#This Row],[QUANTITY]]&gt;0, "YES", "NO")</f>
        <v>NO</v>
      </c>
      <c r="B202" s="27" t="s">
        <v>951</v>
      </c>
      <c r="C202" s="12" t="s">
        <v>28</v>
      </c>
      <c r="D202" s="12" t="s">
        <v>287</v>
      </c>
      <c r="E202" s="12" t="s">
        <v>288</v>
      </c>
      <c r="F202" s="12" t="s">
        <v>53</v>
      </c>
      <c r="G202" s="103" t="s">
        <v>15</v>
      </c>
      <c r="H202" s="103" t="s">
        <v>12</v>
      </c>
      <c r="I202" s="103">
        <v>0</v>
      </c>
      <c r="J202" s="103">
        <f>IFERROR(VLOOKUP(Table139159[[#This Row],[WORK ORDER]], '1. BUILDING ASSET INVENTORY'!A:K, 10, FALSE),0)</f>
        <v>0</v>
      </c>
      <c r="K202" s="102" t="str">
        <f>IFERROR(VLOOKUP(Table139159[[#This Row],[WORK ORDER]], '1. BUILDING ASSET INVENTORY'!A:L, 11, FALSE),"")</f>
        <v/>
      </c>
      <c r="L202" s="109"/>
      <c r="M202" s="197"/>
      <c r="N202" s="109">
        <f>Table139159[[#This Row],[OPERATOR HOURS (BASE)]]+Table139159[[#This Row],[QUANTITY]]*Table139159[[#This Row],[OPERATOR HOURS (PER UNIT)]]</f>
        <v>0</v>
      </c>
      <c r="O202" s="36">
        <f>'TABLE OF CONTENTS'!$K$34</f>
        <v>37.5</v>
      </c>
      <c r="P202" s="36">
        <f>Table139159[[#This Row],[TOTAL OPERATOR HOURS]]*Table139159[[#This Row],[OPERATOR RATE]]</f>
        <v>0</v>
      </c>
      <c r="Q202" s="14">
        <v>0</v>
      </c>
      <c r="R202" s="13">
        <v>0</v>
      </c>
      <c r="S202" s="13">
        <v>0</v>
      </c>
      <c r="T202" s="28"/>
      <c r="U202" s="37">
        <f>SUM(Table139159[[#This Row],[OPERATOR COST]:[UTILITIES]])*Table139159[[#This Row],[FREQUENCY   (TIMES PER YEAR)]]</f>
        <v>0</v>
      </c>
    </row>
    <row r="203" spans="1:21" ht="30" hidden="1" x14ac:dyDescent="0.25">
      <c r="A203" s="98" t="str">
        <f>IF(Table139159[[#This Row],[QUANTITY]]&gt;0, "YES", "NO")</f>
        <v>NO</v>
      </c>
      <c r="B203" s="27" t="s">
        <v>950</v>
      </c>
      <c r="C203" s="12" t="s">
        <v>28</v>
      </c>
      <c r="D203" s="12" t="s">
        <v>287</v>
      </c>
      <c r="E203" s="12" t="s">
        <v>288</v>
      </c>
      <c r="F203" s="12" t="s">
        <v>53</v>
      </c>
      <c r="G203" s="103" t="s">
        <v>15</v>
      </c>
      <c r="H203" s="103" t="s">
        <v>12</v>
      </c>
      <c r="I203" s="103">
        <v>0</v>
      </c>
      <c r="J203" s="103">
        <f>IFERROR(VLOOKUP(Table139159[[#This Row],[WORK ORDER]], '1. BUILDING ASSET INVENTORY'!A:K, 10, FALSE),0)</f>
        <v>0</v>
      </c>
      <c r="K203" s="102" t="str">
        <f>IFERROR(VLOOKUP(Table139159[[#This Row],[WORK ORDER]], '1. BUILDING ASSET INVENTORY'!A:L, 11, FALSE),"")</f>
        <v/>
      </c>
      <c r="L203" s="109"/>
      <c r="M203" s="197"/>
      <c r="N203" s="109">
        <f>Table139159[[#This Row],[OPERATOR HOURS (BASE)]]+Table139159[[#This Row],[QUANTITY]]*Table139159[[#This Row],[OPERATOR HOURS (PER UNIT)]]</f>
        <v>0</v>
      </c>
      <c r="O203" s="36">
        <f>'TABLE OF CONTENTS'!$K$34</f>
        <v>37.5</v>
      </c>
      <c r="P203" s="36">
        <f>Table139159[[#This Row],[TOTAL OPERATOR HOURS]]*Table139159[[#This Row],[OPERATOR RATE]]</f>
        <v>0</v>
      </c>
      <c r="Q203" s="14">
        <v>0</v>
      </c>
      <c r="R203" s="13">
        <v>0</v>
      </c>
      <c r="S203" s="13">
        <v>0</v>
      </c>
      <c r="T203" s="28"/>
      <c r="U203" s="37">
        <f>SUM(Table139159[[#This Row],[OPERATOR COST]:[UTILITIES]])*Table139159[[#This Row],[FREQUENCY   (TIMES PER YEAR)]]</f>
        <v>0</v>
      </c>
    </row>
    <row r="204" spans="1:21" ht="30" hidden="1" x14ac:dyDescent="0.25">
      <c r="A204" s="98" t="str">
        <f>IF(Table139159[[#This Row],[QUANTITY]]&gt;0, "YES", "NO")</f>
        <v>NO</v>
      </c>
      <c r="B204" s="27" t="s">
        <v>949</v>
      </c>
      <c r="C204" s="12" t="s">
        <v>28</v>
      </c>
      <c r="D204" s="12" t="s">
        <v>287</v>
      </c>
      <c r="E204" s="12" t="s">
        <v>288</v>
      </c>
      <c r="F204" s="12" t="s">
        <v>53</v>
      </c>
      <c r="G204" s="103" t="s">
        <v>15</v>
      </c>
      <c r="H204" s="103" t="s">
        <v>12</v>
      </c>
      <c r="I204" s="103">
        <v>0</v>
      </c>
      <c r="J204" s="103">
        <f>IFERROR(VLOOKUP(Table139159[[#This Row],[WORK ORDER]], '1. BUILDING ASSET INVENTORY'!A:K, 10, FALSE),0)</f>
        <v>0</v>
      </c>
      <c r="K204" s="102" t="str">
        <f>IFERROR(VLOOKUP(Table139159[[#This Row],[WORK ORDER]], '1. BUILDING ASSET INVENTORY'!A:L, 11, FALSE),"")</f>
        <v/>
      </c>
      <c r="L204" s="109"/>
      <c r="M204" s="197"/>
      <c r="N204" s="109">
        <f>Table139159[[#This Row],[OPERATOR HOURS (BASE)]]+Table139159[[#This Row],[QUANTITY]]*Table139159[[#This Row],[OPERATOR HOURS (PER UNIT)]]</f>
        <v>0</v>
      </c>
      <c r="O204" s="36">
        <f>'TABLE OF CONTENTS'!$K$34</f>
        <v>37.5</v>
      </c>
      <c r="P204" s="36">
        <f>Table139159[[#This Row],[TOTAL OPERATOR HOURS]]*Table139159[[#This Row],[OPERATOR RATE]]</f>
        <v>0</v>
      </c>
      <c r="Q204" s="14">
        <v>0</v>
      </c>
      <c r="R204" s="13">
        <v>0</v>
      </c>
      <c r="S204" s="13">
        <v>0</v>
      </c>
      <c r="T204" s="28"/>
      <c r="U204" s="37">
        <f>SUM(Table139159[[#This Row],[OPERATOR COST]:[UTILITIES]])*Table139159[[#This Row],[FREQUENCY   (TIMES PER YEAR)]]</f>
        <v>0</v>
      </c>
    </row>
    <row r="205" spans="1:21" hidden="1" x14ac:dyDescent="0.25">
      <c r="A205" s="98" t="str">
        <f>IF(Table139159[[#This Row],[QUANTITY]]&gt;0, "YES", "NO")</f>
        <v>NO</v>
      </c>
      <c r="B205" s="27" t="s">
        <v>866</v>
      </c>
      <c r="C205" s="12" t="s">
        <v>28</v>
      </c>
      <c r="D205" s="12" t="s">
        <v>259</v>
      </c>
      <c r="E205" s="12" t="s">
        <v>282</v>
      </c>
      <c r="F205" s="12" t="s">
        <v>283</v>
      </c>
      <c r="G205" s="103" t="s">
        <v>217</v>
      </c>
      <c r="H205" s="103" t="s">
        <v>132</v>
      </c>
      <c r="I205" s="103">
        <f>1/10</f>
        <v>0.1</v>
      </c>
      <c r="J205" s="103">
        <f>IFERROR(VLOOKUP(Table139159[[#This Row],[WORK ORDER]], '1. BUILDING ASSET INVENTORY'!A:K, 10, FALSE),0)</f>
        <v>0</v>
      </c>
      <c r="K205" s="102" t="str">
        <f>IFERROR(VLOOKUP(Table139159[[#This Row],[WORK ORDER]], '1. BUILDING ASSET INVENTORY'!A:L, 11, FALSE),"")</f>
        <v>Each</v>
      </c>
      <c r="L205" s="109">
        <v>1</v>
      </c>
      <c r="M205" s="197">
        <v>2</v>
      </c>
      <c r="N205" s="109">
        <f>Table139159[[#This Row],[OPERATOR HOURS (BASE)]]+Table139159[[#This Row],[QUANTITY]]*Table139159[[#This Row],[OPERATOR HOURS (PER UNIT)]]</f>
        <v>1</v>
      </c>
      <c r="O205" s="36">
        <f>'TABLE OF CONTENTS'!$K$34</f>
        <v>37.5</v>
      </c>
      <c r="P205" s="36">
        <f>Table139159[[#This Row],[TOTAL OPERATOR HOURS]]*Table139159[[#This Row],[OPERATOR RATE]]</f>
        <v>37.5</v>
      </c>
      <c r="Q205" s="14">
        <v>0</v>
      </c>
      <c r="R205" s="13">
        <v>0</v>
      </c>
      <c r="S205" s="13">
        <v>1200</v>
      </c>
      <c r="T205" s="28"/>
      <c r="U205" s="37">
        <f>SUM(Table139159[[#This Row],[OPERATOR COST]:[UTILITIES]])*Table139159[[#This Row],[FREQUENCY   (TIMES PER YEAR)]]</f>
        <v>123.75</v>
      </c>
    </row>
    <row r="206" spans="1:21" hidden="1" x14ac:dyDescent="0.25">
      <c r="A206" s="98" t="str">
        <f>IF(Table139159[[#This Row],[QUANTITY]]&gt;0, "YES", "NO")</f>
        <v>NO</v>
      </c>
      <c r="B206" s="27" t="s">
        <v>867</v>
      </c>
      <c r="C206" s="12" t="s">
        <v>28</v>
      </c>
      <c r="D206" s="12" t="s">
        <v>259</v>
      </c>
      <c r="E206" s="12" t="s">
        <v>284</v>
      </c>
      <c r="F206" s="12" t="s">
        <v>285</v>
      </c>
      <c r="G206" s="103" t="s">
        <v>217</v>
      </c>
      <c r="H206" s="103" t="s">
        <v>286</v>
      </c>
      <c r="I206" s="103">
        <f>1/20</f>
        <v>0.05</v>
      </c>
      <c r="J206" s="103">
        <f>IFERROR(VLOOKUP(Table139159[[#This Row],[WORK ORDER]], '1. BUILDING ASSET INVENTORY'!A:K, 10, FALSE),0)</f>
        <v>0</v>
      </c>
      <c r="K206" s="102" t="str">
        <f>IFERROR(VLOOKUP(Table139159[[#This Row],[WORK ORDER]], '1. BUILDING ASSET INVENTORY'!A:L, 11, FALSE),"")</f>
        <v>Each</v>
      </c>
      <c r="L206" s="109">
        <v>1</v>
      </c>
      <c r="M206" s="197">
        <v>4</v>
      </c>
      <c r="N206" s="109">
        <f>Table139159[[#This Row],[OPERATOR HOURS (BASE)]]+Table139159[[#This Row],[QUANTITY]]*Table139159[[#This Row],[OPERATOR HOURS (PER UNIT)]]</f>
        <v>1</v>
      </c>
      <c r="O206" s="36">
        <f>'TABLE OF CONTENTS'!$K$34</f>
        <v>37.5</v>
      </c>
      <c r="P206" s="36">
        <f>Table139159[[#This Row],[TOTAL OPERATOR HOURS]]*Table139159[[#This Row],[OPERATOR RATE]]</f>
        <v>37.5</v>
      </c>
      <c r="Q206" s="15">
        <f>PRODUCT(Table139159[[#This Row],[QUANTITY]],4500)</f>
        <v>0</v>
      </c>
      <c r="R206" s="13">
        <v>0</v>
      </c>
      <c r="S206" s="13">
        <v>0</v>
      </c>
      <c r="T206" s="28"/>
      <c r="U206" s="37">
        <f>SUM(Table139159[[#This Row],[OPERATOR COST]:[UTILITIES]])*Table139159[[#This Row],[FREQUENCY   (TIMES PER YEAR)]]</f>
        <v>1.875</v>
      </c>
    </row>
    <row r="207" spans="1:21" x14ac:dyDescent="0.25">
      <c r="A207" s="98" t="str">
        <f>IF(Table139159[[#This Row],[QUANTITY]]&gt;0, "YES", "NO")</f>
        <v>NO</v>
      </c>
      <c r="B207" s="27" t="s">
        <v>846</v>
      </c>
      <c r="C207" s="12" t="s">
        <v>28</v>
      </c>
      <c r="D207" s="12" t="s">
        <v>259</v>
      </c>
      <c r="E207" s="12" t="s">
        <v>291</v>
      </c>
      <c r="F207" s="12" t="s">
        <v>293</v>
      </c>
      <c r="G207" s="103" t="s">
        <v>204</v>
      </c>
      <c r="H207" s="103" t="s">
        <v>8</v>
      </c>
      <c r="I207" s="103">
        <v>1</v>
      </c>
      <c r="J207" s="103">
        <f>IFERROR(VLOOKUP(Table139159[[#This Row],[WORK ORDER]], '1. BUILDING ASSET INVENTORY'!A:K, 10, FALSE),0)</f>
        <v>0</v>
      </c>
      <c r="K207" s="102" t="str">
        <f>IFERROR(VLOOKUP(Table139159[[#This Row],[WORK ORDER]], '1. BUILDING ASSET INVENTORY'!A:L, 11, FALSE),"")</f>
        <v>Each</v>
      </c>
      <c r="L207" s="109">
        <v>1</v>
      </c>
      <c r="M207" s="197">
        <v>4</v>
      </c>
      <c r="N207" s="109">
        <f>Table139159[[#This Row],[OPERATOR HOURS (BASE)]]+Table139159[[#This Row],[QUANTITY]]*Table139159[[#This Row],[OPERATOR HOURS (PER UNIT)]]</f>
        <v>1</v>
      </c>
      <c r="O207" s="36">
        <f>'TABLE OF CONTENTS'!$K$34</f>
        <v>37.5</v>
      </c>
      <c r="P207" s="36">
        <f>Table139159[[#This Row],[TOTAL OPERATOR HOURS]]*Table139159[[#This Row],[OPERATOR RATE]]</f>
        <v>37.5</v>
      </c>
      <c r="Q207" s="14">
        <f>PRODUCT(Table139159[[#This Row],[QUANTITY]],250)</f>
        <v>0</v>
      </c>
      <c r="R207" s="13">
        <v>0</v>
      </c>
      <c r="S207" s="13">
        <v>0</v>
      </c>
      <c r="T207" s="28"/>
      <c r="U207" s="37">
        <f>SUM(Table139159[[#This Row],[OPERATOR COST]:[UTILITIES]])*Table139159[[#This Row],[FREQUENCY   (TIMES PER YEAR)]]</f>
        <v>37.5</v>
      </c>
    </row>
    <row r="208" spans="1:21" ht="30" x14ac:dyDescent="0.25">
      <c r="A208" s="98" t="str">
        <f>IF(Table139159[[#This Row],[QUANTITY]]&gt;0, "YES", "NO")</f>
        <v>NO</v>
      </c>
      <c r="B208" s="27" t="s">
        <v>847</v>
      </c>
      <c r="C208" s="12" t="s">
        <v>28</v>
      </c>
      <c r="D208" s="12" t="s">
        <v>259</v>
      </c>
      <c r="E208" s="12" t="s">
        <v>292</v>
      </c>
      <c r="F208" s="12" t="s">
        <v>294</v>
      </c>
      <c r="G208" s="103" t="s">
        <v>204</v>
      </c>
      <c r="H208" s="103" t="s">
        <v>8</v>
      </c>
      <c r="I208" s="103">
        <v>1</v>
      </c>
      <c r="J208" s="103">
        <f>IFERROR(VLOOKUP(Table139159[[#This Row],[WORK ORDER]], '1. BUILDING ASSET INVENTORY'!A:K, 10, FALSE),0)</f>
        <v>0</v>
      </c>
      <c r="K208" s="102" t="str">
        <f>IFERROR(VLOOKUP(Table139159[[#This Row],[WORK ORDER]], '1. BUILDING ASSET INVENTORY'!A:L, 11, FALSE),"")</f>
        <v>Each</v>
      </c>
      <c r="L208" s="109">
        <v>1</v>
      </c>
      <c r="M208" s="197">
        <v>4</v>
      </c>
      <c r="N208" s="109">
        <f>Table139159[[#This Row],[OPERATOR HOURS (BASE)]]+Table139159[[#This Row],[QUANTITY]]*Table139159[[#This Row],[OPERATOR HOURS (PER UNIT)]]</f>
        <v>1</v>
      </c>
      <c r="O208" s="36">
        <f>'TABLE OF CONTENTS'!$K$34</f>
        <v>37.5</v>
      </c>
      <c r="P208" s="36">
        <f>Table139159[[#This Row],[TOTAL OPERATOR HOURS]]*Table139159[[#This Row],[OPERATOR RATE]]</f>
        <v>37.5</v>
      </c>
      <c r="Q208" s="14">
        <f>PRODUCT(Table139159[[#This Row],[QUANTITY]],500)</f>
        <v>0</v>
      </c>
      <c r="R208" s="13">
        <v>0</v>
      </c>
      <c r="S208" s="13">
        <v>0</v>
      </c>
      <c r="T208" s="28"/>
      <c r="U208" s="37">
        <f>SUM(Table139159[[#This Row],[OPERATOR COST]:[UTILITIES]])*Table139159[[#This Row],[FREQUENCY   (TIMES PER YEAR)]]</f>
        <v>37.5</v>
      </c>
    </row>
    <row r="209" spans="1:21" x14ac:dyDescent="0.25">
      <c r="A209" s="98" t="str">
        <f>IF(Table139159[[#This Row],[QUANTITY]]&gt;0, "YES", "NO")</f>
        <v>NO</v>
      </c>
      <c r="B209" s="27" t="s">
        <v>848</v>
      </c>
      <c r="C209" s="12" t="s">
        <v>28</v>
      </c>
      <c r="D209" s="12" t="s">
        <v>259</v>
      </c>
      <c r="E209" s="12" t="s">
        <v>306</v>
      </c>
      <c r="F209" s="12" t="s">
        <v>307</v>
      </c>
      <c r="G209" s="103" t="s">
        <v>204</v>
      </c>
      <c r="H209" s="103" t="s">
        <v>8</v>
      </c>
      <c r="I209" s="103">
        <v>1</v>
      </c>
      <c r="J209" s="103">
        <f>IFERROR(VLOOKUP(Table139159[[#This Row],[WORK ORDER]], '1. BUILDING ASSET INVENTORY'!A:K, 10, FALSE),0)</f>
        <v>0</v>
      </c>
      <c r="K209" s="102" t="str">
        <f>IFERROR(VLOOKUP(Table139159[[#This Row],[WORK ORDER]], '1. BUILDING ASSET INVENTORY'!A:L, 11, FALSE),"")</f>
        <v>Each</v>
      </c>
      <c r="L209" s="109">
        <v>1</v>
      </c>
      <c r="M209" s="197">
        <v>4</v>
      </c>
      <c r="N209" s="109">
        <f>Table139159[[#This Row],[OPERATOR HOURS (BASE)]]+Table139159[[#This Row],[QUANTITY]]*Table139159[[#This Row],[OPERATOR HOURS (PER UNIT)]]</f>
        <v>1</v>
      </c>
      <c r="O209" s="36">
        <f>'TABLE OF CONTENTS'!$K$34</f>
        <v>37.5</v>
      </c>
      <c r="P209" s="36">
        <f>Table139159[[#This Row],[TOTAL OPERATOR HOURS]]*Table139159[[#This Row],[OPERATOR RATE]]</f>
        <v>37.5</v>
      </c>
      <c r="Q209" s="14">
        <f>PRODUCT(Table139159[[#This Row],[QUANTITY]],500)</f>
        <v>0</v>
      </c>
      <c r="R209" s="13">
        <v>0</v>
      </c>
      <c r="S209" s="13">
        <v>0</v>
      </c>
      <c r="T209" s="28"/>
      <c r="U209" s="37">
        <f>SUM(Table139159[[#This Row],[OPERATOR COST]:[UTILITIES]])*Table139159[[#This Row],[FREQUENCY   (TIMES PER YEAR)]]</f>
        <v>37.5</v>
      </c>
    </row>
    <row r="210" spans="1:21" hidden="1" x14ac:dyDescent="0.25">
      <c r="A210" s="98" t="str">
        <f>IF(Table139159[[#This Row],[QUANTITY]]&gt;0, "YES", "NO")</f>
        <v>NO</v>
      </c>
      <c r="B210" s="27" t="s">
        <v>948</v>
      </c>
      <c r="C210" s="12" t="s">
        <v>28</v>
      </c>
      <c r="D210" s="12" t="s">
        <v>259</v>
      </c>
      <c r="E210" s="12" t="s">
        <v>53</v>
      </c>
      <c r="F210" s="12" t="s">
        <v>53</v>
      </c>
      <c r="G210" s="103" t="s">
        <v>15</v>
      </c>
      <c r="H210" s="103" t="s">
        <v>12</v>
      </c>
      <c r="I210" s="103">
        <v>0</v>
      </c>
      <c r="J210" s="103">
        <f>IFERROR(VLOOKUP(Table139159[[#This Row],[WORK ORDER]], '1. BUILDING ASSET INVENTORY'!A:K, 10, FALSE),0)</f>
        <v>0</v>
      </c>
      <c r="K210" s="102" t="str">
        <f>IFERROR(VLOOKUP(Table139159[[#This Row],[WORK ORDER]], '1. BUILDING ASSET INVENTORY'!A:L, 11, FALSE),"")</f>
        <v/>
      </c>
      <c r="L210" s="109"/>
      <c r="M210" s="197"/>
      <c r="N210" s="109">
        <f>Table139159[[#This Row],[OPERATOR HOURS (BASE)]]+Table139159[[#This Row],[QUANTITY]]*Table139159[[#This Row],[OPERATOR HOURS (PER UNIT)]]</f>
        <v>0</v>
      </c>
      <c r="O210" s="36">
        <f>'TABLE OF CONTENTS'!$K$34</f>
        <v>37.5</v>
      </c>
      <c r="P210" s="36">
        <f>Table139159[[#This Row],[TOTAL OPERATOR HOURS]]*Table139159[[#This Row],[OPERATOR RATE]]</f>
        <v>0</v>
      </c>
      <c r="Q210" s="14">
        <v>0</v>
      </c>
      <c r="R210" s="13">
        <v>0</v>
      </c>
      <c r="S210" s="13">
        <v>0</v>
      </c>
      <c r="T210" s="28"/>
      <c r="U210" s="37">
        <f>SUM(Table139159[[#This Row],[OPERATOR COST]:[UTILITIES]])*Table139159[[#This Row],[FREQUENCY   (TIMES PER YEAR)]]</f>
        <v>0</v>
      </c>
    </row>
    <row r="211" spans="1:21" hidden="1" x14ac:dyDescent="0.25">
      <c r="A211" s="98" t="str">
        <f>IF(Table139159[[#This Row],[QUANTITY]]&gt;0, "YES", "NO")</f>
        <v>NO</v>
      </c>
      <c r="B211" s="27" t="s">
        <v>947</v>
      </c>
      <c r="C211" s="12" t="s">
        <v>28</v>
      </c>
      <c r="D211" s="12" t="s">
        <v>259</v>
      </c>
      <c r="E211" s="12" t="s">
        <v>53</v>
      </c>
      <c r="F211" s="12" t="s">
        <v>53</v>
      </c>
      <c r="G211" s="103" t="s">
        <v>15</v>
      </c>
      <c r="H211" s="103" t="s">
        <v>12</v>
      </c>
      <c r="I211" s="103">
        <v>0</v>
      </c>
      <c r="J211" s="103">
        <f>IFERROR(VLOOKUP(Table139159[[#This Row],[WORK ORDER]], '1. BUILDING ASSET INVENTORY'!A:K, 10, FALSE),0)</f>
        <v>0</v>
      </c>
      <c r="K211" s="102" t="str">
        <f>IFERROR(VLOOKUP(Table139159[[#This Row],[WORK ORDER]], '1. BUILDING ASSET INVENTORY'!A:L, 11, FALSE),"")</f>
        <v/>
      </c>
      <c r="L211" s="109"/>
      <c r="M211" s="197"/>
      <c r="N211" s="109">
        <f>Table139159[[#This Row],[OPERATOR HOURS (BASE)]]+Table139159[[#This Row],[QUANTITY]]*Table139159[[#This Row],[OPERATOR HOURS (PER UNIT)]]</f>
        <v>0</v>
      </c>
      <c r="O211" s="36">
        <f>'TABLE OF CONTENTS'!$K$34</f>
        <v>37.5</v>
      </c>
      <c r="P211" s="36">
        <f>Table139159[[#This Row],[TOTAL OPERATOR HOURS]]*Table139159[[#This Row],[OPERATOR RATE]]</f>
        <v>0</v>
      </c>
      <c r="Q211" s="14">
        <v>0</v>
      </c>
      <c r="R211" s="13">
        <v>0</v>
      </c>
      <c r="S211" s="13">
        <v>0</v>
      </c>
      <c r="T211" s="28"/>
      <c r="U211" s="37">
        <f>SUM(Table139159[[#This Row],[OPERATOR COST]:[UTILITIES]])*Table139159[[#This Row],[FREQUENCY   (TIMES PER YEAR)]]</f>
        <v>0</v>
      </c>
    </row>
    <row r="212" spans="1:21" hidden="1" x14ac:dyDescent="0.25">
      <c r="A212" s="98" t="str">
        <f>IF(Table139159[[#This Row],[QUANTITY]]&gt;0, "YES", "NO")</f>
        <v>NO</v>
      </c>
      <c r="B212" s="27" t="s">
        <v>946</v>
      </c>
      <c r="C212" s="12" t="s">
        <v>28</v>
      </c>
      <c r="D212" s="12" t="s">
        <v>259</v>
      </c>
      <c r="E212" s="12" t="s">
        <v>53</v>
      </c>
      <c r="F212" s="12" t="s">
        <v>53</v>
      </c>
      <c r="G212" s="103" t="s">
        <v>15</v>
      </c>
      <c r="H212" s="103" t="s">
        <v>12</v>
      </c>
      <c r="I212" s="103">
        <v>0</v>
      </c>
      <c r="J212" s="103">
        <f>IFERROR(VLOOKUP(Table139159[[#This Row],[WORK ORDER]], '1. BUILDING ASSET INVENTORY'!A:K, 10, FALSE),0)</f>
        <v>0</v>
      </c>
      <c r="K212" s="102" t="str">
        <f>IFERROR(VLOOKUP(Table139159[[#This Row],[WORK ORDER]], '1. BUILDING ASSET INVENTORY'!A:L, 11, FALSE),"")</f>
        <v/>
      </c>
      <c r="L212" s="109"/>
      <c r="M212" s="197"/>
      <c r="N212" s="109">
        <f>Table139159[[#This Row],[OPERATOR HOURS (BASE)]]+Table139159[[#This Row],[QUANTITY]]*Table139159[[#This Row],[OPERATOR HOURS (PER UNIT)]]</f>
        <v>0</v>
      </c>
      <c r="O212" s="36">
        <f>'TABLE OF CONTENTS'!$K$34</f>
        <v>37.5</v>
      </c>
      <c r="P212" s="36">
        <f>Table139159[[#This Row],[TOTAL OPERATOR HOURS]]*Table139159[[#This Row],[OPERATOR RATE]]</f>
        <v>0</v>
      </c>
      <c r="Q212" s="14">
        <v>0</v>
      </c>
      <c r="R212" s="13">
        <v>0</v>
      </c>
      <c r="S212" s="13">
        <v>0</v>
      </c>
      <c r="T212" s="28"/>
      <c r="U212" s="37">
        <f>SUM(Table139159[[#This Row],[OPERATOR COST]:[UTILITIES]])*Table139159[[#This Row],[FREQUENCY   (TIMES PER YEAR)]]</f>
        <v>0</v>
      </c>
    </row>
    <row r="213" spans="1:21" hidden="1" x14ac:dyDescent="0.25">
      <c r="A213" s="98" t="str">
        <f>IF(Table139159[[#This Row],[QUANTITY]]&gt;0, "YES", "NO")</f>
        <v>NO</v>
      </c>
      <c r="B213" s="27" t="s">
        <v>945</v>
      </c>
      <c r="C213" s="12" t="s">
        <v>28</v>
      </c>
      <c r="D213" s="12" t="s">
        <v>259</v>
      </c>
      <c r="E213" s="12" t="s">
        <v>53</v>
      </c>
      <c r="F213" s="12" t="s">
        <v>53</v>
      </c>
      <c r="G213" s="103" t="s">
        <v>15</v>
      </c>
      <c r="H213" s="103" t="s">
        <v>12</v>
      </c>
      <c r="I213" s="103">
        <v>0</v>
      </c>
      <c r="J213" s="103">
        <f>IFERROR(VLOOKUP(Table139159[[#This Row],[WORK ORDER]], '1. BUILDING ASSET INVENTORY'!A:K, 10, FALSE),0)</f>
        <v>0</v>
      </c>
      <c r="K213" s="102" t="str">
        <f>IFERROR(VLOOKUP(Table139159[[#This Row],[WORK ORDER]], '1. BUILDING ASSET INVENTORY'!A:L, 11, FALSE),"")</f>
        <v/>
      </c>
      <c r="L213" s="109"/>
      <c r="M213" s="197"/>
      <c r="N213" s="109">
        <f>Table139159[[#This Row],[OPERATOR HOURS (BASE)]]+Table139159[[#This Row],[QUANTITY]]*Table139159[[#This Row],[OPERATOR HOURS (PER UNIT)]]</f>
        <v>0</v>
      </c>
      <c r="O213" s="36">
        <f>'TABLE OF CONTENTS'!$K$34</f>
        <v>37.5</v>
      </c>
      <c r="P213" s="36">
        <f>Table139159[[#This Row],[TOTAL OPERATOR HOURS]]*Table139159[[#This Row],[OPERATOR RATE]]</f>
        <v>0</v>
      </c>
      <c r="Q213" s="14">
        <v>0</v>
      </c>
      <c r="R213" s="13">
        <v>0</v>
      </c>
      <c r="S213" s="13">
        <v>0</v>
      </c>
      <c r="T213" s="28"/>
      <c r="U213" s="37">
        <f>SUM(Table139159[[#This Row],[OPERATOR COST]:[UTILITIES]])*Table139159[[#This Row],[FREQUENCY   (TIMES PER YEAR)]]</f>
        <v>0</v>
      </c>
    </row>
    <row r="214" spans="1:21" ht="30" hidden="1" x14ac:dyDescent="0.25">
      <c r="A214" s="98" t="str">
        <f>IF(Table139159[[#This Row],[QUANTITY]]&gt;0, "YES", "NO")</f>
        <v>NO</v>
      </c>
      <c r="B214" s="27" t="s">
        <v>720</v>
      </c>
      <c r="C214" s="12" t="s">
        <v>28</v>
      </c>
      <c r="D214" s="12" t="s">
        <v>260</v>
      </c>
      <c r="E214" s="12" t="s">
        <v>19</v>
      </c>
      <c r="F214" s="12" t="s">
        <v>295</v>
      </c>
      <c r="G214" s="103" t="s">
        <v>217</v>
      </c>
      <c r="H214" s="103" t="s">
        <v>132</v>
      </c>
      <c r="I214" s="103">
        <f>1/10</f>
        <v>0.1</v>
      </c>
      <c r="J214" s="103">
        <f>IFERROR(VLOOKUP(Table139159[[#This Row],[WORK ORDER]], '1. BUILDING ASSET INVENTORY'!A:K, 10, FALSE),0)</f>
        <v>0</v>
      </c>
      <c r="K214" s="102" t="str">
        <f>IFERROR(VLOOKUP(Table139159[[#This Row],[WORK ORDER]], '1. BUILDING ASSET INVENTORY'!A:L, 11, FALSE),"")</f>
        <v>Each</v>
      </c>
      <c r="L214" s="109">
        <v>1</v>
      </c>
      <c r="M214" s="197">
        <v>8</v>
      </c>
      <c r="N214" s="109">
        <f>Table139159[[#This Row],[OPERATOR HOURS (BASE)]]+Table139159[[#This Row],[QUANTITY]]*Table139159[[#This Row],[OPERATOR HOURS (PER UNIT)]]</f>
        <v>1</v>
      </c>
      <c r="O214" s="36">
        <f>'TABLE OF CONTENTS'!$K$34</f>
        <v>37.5</v>
      </c>
      <c r="P214" s="36">
        <f>Table139159[[#This Row],[TOTAL OPERATOR HOURS]]*Table139159[[#This Row],[OPERATOR RATE]]</f>
        <v>37.5</v>
      </c>
      <c r="Q214" s="15">
        <f>PRODUCT(Table139159[[#This Row],[QUANTITY]],9500)</f>
        <v>0</v>
      </c>
      <c r="R214" s="13">
        <v>0</v>
      </c>
      <c r="S214" s="13">
        <v>0</v>
      </c>
      <c r="T214" s="28"/>
      <c r="U214" s="37">
        <f>SUM(Table139159[[#This Row],[OPERATOR COST]:[UTILITIES]])*Table139159[[#This Row],[FREQUENCY   (TIMES PER YEAR)]]</f>
        <v>3.75</v>
      </c>
    </row>
    <row r="215" spans="1:21" x14ac:dyDescent="0.25">
      <c r="A215" s="98" t="str">
        <f>IF(Table139159[[#This Row],[QUANTITY]]&gt;0, "YES", "NO")</f>
        <v>NO</v>
      </c>
      <c r="B215" s="27" t="s">
        <v>721</v>
      </c>
      <c r="C215" s="12" t="s">
        <v>28</v>
      </c>
      <c r="D215" s="12" t="s">
        <v>260</v>
      </c>
      <c r="E215" s="12" t="s">
        <v>29</v>
      </c>
      <c r="F215" s="12" t="s">
        <v>296</v>
      </c>
      <c r="G215" s="103" t="s">
        <v>204</v>
      </c>
      <c r="H215" s="103" t="s">
        <v>9</v>
      </c>
      <c r="I215" s="103">
        <v>52</v>
      </c>
      <c r="J215" s="103">
        <f>IFERROR(VLOOKUP(Table139159[[#This Row],[WORK ORDER]], '1. BUILDING ASSET INVENTORY'!A:K, 10, FALSE),0)</f>
        <v>0</v>
      </c>
      <c r="K215" s="102" t="str">
        <f>IFERROR(VLOOKUP(Table139159[[#This Row],[WORK ORDER]], '1. BUILDING ASSET INVENTORY'!A:L, 11, FALSE),"")</f>
        <v xml:space="preserve">m² </v>
      </c>
      <c r="L215" s="109">
        <v>1</v>
      </c>
      <c r="M215" s="197">
        <v>0.02</v>
      </c>
      <c r="N215" s="109">
        <f>Table139159[[#This Row],[OPERATOR HOURS (BASE)]]+Table139159[[#This Row],[QUANTITY]]*Table139159[[#This Row],[OPERATOR HOURS (PER UNIT)]]</f>
        <v>1</v>
      </c>
      <c r="O215" s="36">
        <f>'TABLE OF CONTENTS'!$K$34</f>
        <v>37.5</v>
      </c>
      <c r="P215" s="36">
        <f>Table139159[[#This Row],[TOTAL OPERATOR HOURS]]*Table139159[[#This Row],[OPERATOR RATE]]</f>
        <v>37.5</v>
      </c>
      <c r="Q215" s="14">
        <v>0</v>
      </c>
      <c r="R215" s="13">
        <v>0</v>
      </c>
      <c r="S215" s="13">
        <v>15</v>
      </c>
      <c r="T215" s="28"/>
      <c r="U215" s="37">
        <f>SUM(Table139159[[#This Row],[OPERATOR COST]:[UTILITIES]])*Table139159[[#This Row],[FREQUENCY   (TIMES PER YEAR)]]</f>
        <v>2730</v>
      </c>
    </row>
    <row r="216" spans="1:21" x14ac:dyDescent="0.25">
      <c r="A216" s="98" t="str">
        <f>IF(Table139159[[#This Row],[QUANTITY]]&gt;0, "YES", "NO")</f>
        <v>NO</v>
      </c>
      <c r="B216" s="27" t="s">
        <v>722</v>
      </c>
      <c r="C216" s="12" t="s">
        <v>28</v>
      </c>
      <c r="D216" s="12" t="s">
        <v>260</v>
      </c>
      <c r="E216" s="12" t="s">
        <v>97</v>
      </c>
      <c r="F216" s="12" t="s">
        <v>297</v>
      </c>
      <c r="G216" s="103" t="s">
        <v>204</v>
      </c>
      <c r="H216" s="103" t="s">
        <v>10</v>
      </c>
      <c r="I216" s="103">
        <v>12</v>
      </c>
      <c r="J216" s="103">
        <f>IFERROR(VLOOKUP(Table139159[[#This Row],[WORK ORDER]], '1. BUILDING ASSET INVENTORY'!A:K, 10, FALSE),0)</f>
        <v>0</v>
      </c>
      <c r="K216" s="102" t="str">
        <f>IFERROR(VLOOKUP(Table139159[[#This Row],[WORK ORDER]], '1. BUILDING ASSET INVENTORY'!A:L, 11, FALSE),"")</f>
        <v>Enter Monthly Charge or 0 if N/A</v>
      </c>
      <c r="L216" s="109">
        <v>1</v>
      </c>
      <c r="M216" s="197"/>
      <c r="N216" s="109">
        <f>Table139159[[#This Row],[OPERATOR HOURS (BASE)]]+Table139159[[#This Row],[QUANTITY]]*Table139159[[#This Row],[OPERATOR HOURS (PER UNIT)]]</f>
        <v>1</v>
      </c>
      <c r="O216" s="36">
        <f>'TABLE OF CONTENTS'!$K$34</f>
        <v>37.5</v>
      </c>
      <c r="P216" s="36">
        <f>Table139159[[#This Row],[TOTAL OPERATOR HOURS]]*Table139159[[#This Row],[OPERATOR RATE]]</f>
        <v>37.5</v>
      </c>
      <c r="Q216" s="15">
        <v>0</v>
      </c>
      <c r="R216" s="13">
        <v>0</v>
      </c>
      <c r="S216" s="13">
        <v>0</v>
      </c>
      <c r="T216" s="85">
        <f>Table139159[[#This Row],[QUANTITY]]</f>
        <v>0</v>
      </c>
      <c r="U216" s="37">
        <f>SUM(Table139159[[#This Row],[OPERATOR COST]:[UTILITIES]])*Table139159[[#This Row],[FREQUENCY   (TIMES PER YEAR)]]</f>
        <v>450</v>
      </c>
    </row>
    <row r="217" spans="1:21" x14ac:dyDescent="0.25">
      <c r="A217" s="98" t="str">
        <f>IF(Table139159[[#This Row],[QUANTITY]]&gt;0, "YES", "NO")</f>
        <v>NO</v>
      </c>
      <c r="B217" s="27" t="s">
        <v>723</v>
      </c>
      <c r="C217" s="12" t="s">
        <v>28</v>
      </c>
      <c r="D217" s="12" t="s">
        <v>260</v>
      </c>
      <c r="E217" s="12" t="s">
        <v>98</v>
      </c>
      <c r="F217" s="12" t="s">
        <v>298</v>
      </c>
      <c r="G217" s="103" t="s">
        <v>204</v>
      </c>
      <c r="H217" s="103" t="s">
        <v>10</v>
      </c>
      <c r="I217" s="103">
        <v>12</v>
      </c>
      <c r="J217" s="103">
        <f>IFERROR(VLOOKUP(Table139159[[#This Row],[WORK ORDER]], '1. BUILDING ASSET INVENTORY'!A:K, 10, FALSE),0)</f>
        <v>0</v>
      </c>
      <c r="K217" s="102" t="str">
        <f>IFERROR(VLOOKUP(Table139159[[#This Row],[WORK ORDER]], '1. BUILDING ASSET INVENTORY'!A:L, 11, FALSE),"")</f>
        <v>Enter Monthly Charge or 0 if N/A</v>
      </c>
      <c r="L217" s="109">
        <v>1</v>
      </c>
      <c r="M217" s="197"/>
      <c r="N217" s="109">
        <f>Table139159[[#This Row],[OPERATOR HOURS (BASE)]]+Table139159[[#This Row],[QUANTITY]]*Table139159[[#This Row],[OPERATOR HOURS (PER UNIT)]]</f>
        <v>1</v>
      </c>
      <c r="O217" s="36">
        <f>'TABLE OF CONTENTS'!$K$34</f>
        <v>37.5</v>
      </c>
      <c r="P217" s="36">
        <f>Table139159[[#This Row],[TOTAL OPERATOR HOURS]]*Table139159[[#This Row],[OPERATOR RATE]]</f>
        <v>37.5</v>
      </c>
      <c r="Q217" s="15">
        <v>0</v>
      </c>
      <c r="R217" s="13">
        <v>0</v>
      </c>
      <c r="S217" s="13">
        <v>0</v>
      </c>
      <c r="T217" s="85">
        <f>Table139159[[#This Row],[QUANTITY]]</f>
        <v>0</v>
      </c>
      <c r="U217" s="37">
        <f>SUM(Table139159[[#This Row],[OPERATOR COST]:[UTILITIES]])*Table139159[[#This Row],[FREQUENCY   (TIMES PER YEAR)]]</f>
        <v>450</v>
      </c>
    </row>
    <row r="218" spans="1:21" ht="30" x14ac:dyDescent="0.25">
      <c r="A218" s="98" t="str">
        <f>IF(Table139159[[#This Row],[QUANTITY]]&gt;0, "YES", "NO")</f>
        <v>NO</v>
      </c>
      <c r="B218" s="27" t="s">
        <v>724</v>
      </c>
      <c r="C218" s="12" t="s">
        <v>28</v>
      </c>
      <c r="D218" s="12" t="s">
        <v>260</v>
      </c>
      <c r="E218" s="12" t="s">
        <v>122</v>
      </c>
      <c r="F218" s="12" t="s">
        <v>299</v>
      </c>
      <c r="G218" s="103" t="s">
        <v>204</v>
      </c>
      <c r="H218" s="103" t="s">
        <v>10</v>
      </c>
      <c r="I218" s="103">
        <v>12</v>
      </c>
      <c r="J218" s="103">
        <f>IFERROR(VLOOKUP(Table139159[[#This Row],[WORK ORDER]], '1. BUILDING ASSET INVENTORY'!A:K, 10, FALSE),0)</f>
        <v>0</v>
      </c>
      <c r="K218" s="102" t="str">
        <f>IFERROR(VLOOKUP(Table139159[[#This Row],[WORK ORDER]], '1. BUILDING ASSET INVENTORY'!A:L, 11, FALSE),"")</f>
        <v>Enter Monthly Charge or 0 if N/A</v>
      </c>
      <c r="L218" s="109">
        <v>1</v>
      </c>
      <c r="M218" s="197"/>
      <c r="N218" s="109">
        <f>Table139159[[#This Row],[OPERATOR HOURS (BASE)]]+Table139159[[#This Row],[QUANTITY]]*Table139159[[#This Row],[OPERATOR HOURS (PER UNIT)]]</f>
        <v>1</v>
      </c>
      <c r="O218" s="36">
        <f>'TABLE OF CONTENTS'!$K$34</f>
        <v>37.5</v>
      </c>
      <c r="P218" s="36">
        <f>Table139159[[#This Row],[TOTAL OPERATOR HOURS]]*Table139159[[#This Row],[OPERATOR RATE]]</f>
        <v>37.5</v>
      </c>
      <c r="Q218" s="15">
        <v>0</v>
      </c>
      <c r="R218" s="13">
        <v>0</v>
      </c>
      <c r="S218" s="13">
        <v>0</v>
      </c>
      <c r="T218" s="85">
        <f>Table139159[[#This Row],[QUANTITY]]</f>
        <v>0</v>
      </c>
      <c r="U218" s="37">
        <f>SUM(Table139159[[#This Row],[OPERATOR COST]:[UTILITIES]])*Table139159[[#This Row],[FREQUENCY   (TIMES PER YEAR)]]</f>
        <v>450</v>
      </c>
    </row>
    <row r="219" spans="1:21" x14ac:dyDescent="0.25">
      <c r="A219" s="98" t="str">
        <f>IF(Table139159[[#This Row],[QUANTITY]]&gt;0, "YES", "NO")</f>
        <v>NO</v>
      </c>
      <c r="B219" s="27" t="s">
        <v>725</v>
      </c>
      <c r="C219" s="12" t="s">
        <v>28</v>
      </c>
      <c r="D219" s="12" t="s">
        <v>260</v>
      </c>
      <c r="E219" s="12" t="s">
        <v>123</v>
      </c>
      <c r="F219" s="12" t="s">
        <v>300</v>
      </c>
      <c r="G219" s="103" t="s">
        <v>204</v>
      </c>
      <c r="H219" s="103" t="s">
        <v>10</v>
      </c>
      <c r="I219" s="103">
        <v>12</v>
      </c>
      <c r="J219" s="103">
        <f>IFERROR(VLOOKUP(Table139159[[#This Row],[WORK ORDER]], '1. BUILDING ASSET INVENTORY'!A:K, 10, FALSE),0)</f>
        <v>0</v>
      </c>
      <c r="K219" s="102" t="str">
        <f>IFERROR(VLOOKUP(Table139159[[#This Row],[WORK ORDER]], '1. BUILDING ASSET INVENTORY'!A:L, 11, FALSE),"")</f>
        <v>Enter Monthly Charge or 0 if N/A</v>
      </c>
      <c r="L219" s="109">
        <v>1</v>
      </c>
      <c r="M219" s="197"/>
      <c r="N219" s="109">
        <f>Table139159[[#This Row],[OPERATOR HOURS (BASE)]]+Table139159[[#This Row],[QUANTITY]]*Table139159[[#This Row],[OPERATOR HOURS (PER UNIT)]]</f>
        <v>1</v>
      </c>
      <c r="O219" s="36">
        <f>'TABLE OF CONTENTS'!$K$34</f>
        <v>37.5</v>
      </c>
      <c r="P219" s="36">
        <f>Table139159[[#This Row],[TOTAL OPERATOR HOURS]]*Table139159[[#This Row],[OPERATOR RATE]]</f>
        <v>37.5</v>
      </c>
      <c r="Q219" s="15">
        <v>0</v>
      </c>
      <c r="R219" s="13">
        <v>0</v>
      </c>
      <c r="S219" s="13">
        <v>0</v>
      </c>
      <c r="T219" s="85">
        <f>Table139159[[#This Row],[QUANTITY]]</f>
        <v>0</v>
      </c>
      <c r="U219" s="37">
        <f>SUM(Table139159[[#This Row],[OPERATOR COST]:[UTILITIES]])*Table139159[[#This Row],[FREQUENCY   (TIMES PER YEAR)]]</f>
        <v>450</v>
      </c>
    </row>
    <row r="220" spans="1:21" ht="30" x14ac:dyDescent="0.25">
      <c r="A220" s="98" t="str">
        <f>IF(Table139159[[#This Row],[QUANTITY]]&gt;0, "YES", "NO")</f>
        <v>NO</v>
      </c>
      <c r="B220" s="27" t="s">
        <v>726</v>
      </c>
      <c r="C220" s="12" t="s">
        <v>28</v>
      </c>
      <c r="D220" s="12" t="s">
        <v>260</v>
      </c>
      <c r="E220" s="12" t="s">
        <v>124</v>
      </c>
      <c r="F220" s="12" t="s">
        <v>301</v>
      </c>
      <c r="G220" s="103" t="s">
        <v>204</v>
      </c>
      <c r="H220" s="103" t="s">
        <v>10</v>
      </c>
      <c r="I220" s="103">
        <v>12</v>
      </c>
      <c r="J220" s="103">
        <f>IFERROR(VLOOKUP(Table139159[[#This Row],[WORK ORDER]], '1. BUILDING ASSET INVENTORY'!A:K, 10, FALSE),0)</f>
        <v>0</v>
      </c>
      <c r="K220" s="102" t="str">
        <f>IFERROR(VLOOKUP(Table139159[[#This Row],[WORK ORDER]], '1. BUILDING ASSET INVENTORY'!A:L, 11, FALSE),"")</f>
        <v>Enter Monthly Charge or 0 if N/A</v>
      </c>
      <c r="L220" s="109">
        <v>1</v>
      </c>
      <c r="M220" s="197"/>
      <c r="N220" s="109">
        <f>Table139159[[#This Row],[OPERATOR HOURS (BASE)]]+Table139159[[#This Row],[QUANTITY]]*Table139159[[#This Row],[OPERATOR HOURS (PER UNIT)]]</f>
        <v>1</v>
      </c>
      <c r="O220" s="36">
        <f>'TABLE OF CONTENTS'!$K$34</f>
        <v>37.5</v>
      </c>
      <c r="P220" s="36">
        <f>Table139159[[#This Row],[TOTAL OPERATOR HOURS]]*Table139159[[#This Row],[OPERATOR RATE]]</f>
        <v>37.5</v>
      </c>
      <c r="Q220" s="15">
        <v>0</v>
      </c>
      <c r="R220" s="13">
        <v>0</v>
      </c>
      <c r="S220" s="13">
        <v>0</v>
      </c>
      <c r="T220" s="85">
        <f>Table139159[[#This Row],[QUANTITY]]</f>
        <v>0</v>
      </c>
      <c r="U220" s="37">
        <f>SUM(Table139159[[#This Row],[OPERATOR COST]:[UTILITIES]])*Table139159[[#This Row],[FREQUENCY   (TIMES PER YEAR)]]</f>
        <v>450</v>
      </c>
    </row>
    <row r="221" spans="1:21" ht="30" x14ac:dyDescent="0.25">
      <c r="A221" s="98" t="str">
        <f>IF(Table139159[[#This Row],[QUANTITY]]&gt;0, "YES", "NO")</f>
        <v>NO</v>
      </c>
      <c r="B221" s="27" t="s">
        <v>727</v>
      </c>
      <c r="C221" s="12" t="s">
        <v>28</v>
      </c>
      <c r="D221" s="12" t="s">
        <v>260</v>
      </c>
      <c r="E221" s="12" t="s">
        <v>125</v>
      </c>
      <c r="F221" s="12" t="s">
        <v>302</v>
      </c>
      <c r="G221" s="103" t="s">
        <v>204</v>
      </c>
      <c r="H221" s="103" t="s">
        <v>10</v>
      </c>
      <c r="I221" s="103">
        <v>12</v>
      </c>
      <c r="J221" s="103">
        <f>IFERROR(VLOOKUP(Table139159[[#This Row],[WORK ORDER]], '1. BUILDING ASSET INVENTORY'!A:K, 10, FALSE),0)</f>
        <v>0</v>
      </c>
      <c r="K221" s="102" t="str">
        <f>IFERROR(VLOOKUP(Table139159[[#This Row],[WORK ORDER]], '1. BUILDING ASSET INVENTORY'!A:L, 11, FALSE),"")</f>
        <v>Enter Monthly Charge or 0 if N/A</v>
      </c>
      <c r="L221" s="109">
        <v>1</v>
      </c>
      <c r="M221" s="197"/>
      <c r="N221" s="109">
        <f>Table139159[[#This Row],[OPERATOR HOURS (BASE)]]+Table139159[[#This Row],[QUANTITY]]*Table139159[[#This Row],[OPERATOR HOURS (PER UNIT)]]</f>
        <v>1</v>
      </c>
      <c r="O221" s="36">
        <f>'TABLE OF CONTENTS'!$K$34</f>
        <v>37.5</v>
      </c>
      <c r="P221" s="36">
        <f>Table139159[[#This Row],[TOTAL OPERATOR HOURS]]*Table139159[[#This Row],[OPERATOR RATE]]</f>
        <v>37.5</v>
      </c>
      <c r="Q221" s="15">
        <v>0</v>
      </c>
      <c r="R221" s="13">
        <v>0</v>
      </c>
      <c r="S221" s="13">
        <v>0</v>
      </c>
      <c r="T221" s="85">
        <f>Table139159[[#This Row],[QUANTITY]]</f>
        <v>0</v>
      </c>
      <c r="U221" s="37">
        <f>SUM(Table139159[[#This Row],[OPERATOR COST]:[UTILITIES]])*Table139159[[#This Row],[FREQUENCY   (TIMES PER YEAR)]]</f>
        <v>450</v>
      </c>
    </row>
    <row r="222" spans="1:21" ht="30" x14ac:dyDescent="0.25">
      <c r="A222" s="98" t="str">
        <f>IF(Table139159[[#This Row],[QUANTITY]]&gt;0, "YES", "NO")</f>
        <v>NO</v>
      </c>
      <c r="B222" s="27" t="s">
        <v>728</v>
      </c>
      <c r="C222" s="12" t="s">
        <v>28</v>
      </c>
      <c r="D222" s="12" t="s">
        <v>260</v>
      </c>
      <c r="E222" s="12" t="s">
        <v>126</v>
      </c>
      <c r="F222" s="12" t="s">
        <v>303</v>
      </c>
      <c r="G222" s="103" t="s">
        <v>204</v>
      </c>
      <c r="H222" s="103" t="s">
        <v>10</v>
      </c>
      <c r="I222" s="103">
        <v>12</v>
      </c>
      <c r="J222" s="103">
        <f>IFERROR(VLOOKUP(Table139159[[#This Row],[WORK ORDER]], '1. BUILDING ASSET INVENTORY'!A:K, 10, FALSE),0)</f>
        <v>0</v>
      </c>
      <c r="K222" s="102" t="str">
        <f>IFERROR(VLOOKUP(Table139159[[#This Row],[WORK ORDER]], '1. BUILDING ASSET INVENTORY'!A:L, 11, FALSE),"")</f>
        <v>Enter Monthly Charge or 0 if N/A</v>
      </c>
      <c r="L222" s="109">
        <v>1</v>
      </c>
      <c r="M222" s="197"/>
      <c r="N222" s="109">
        <f>Table139159[[#This Row],[OPERATOR HOURS (BASE)]]+Table139159[[#This Row],[QUANTITY]]*Table139159[[#This Row],[OPERATOR HOURS (PER UNIT)]]</f>
        <v>1</v>
      </c>
      <c r="O222" s="36">
        <f>'TABLE OF CONTENTS'!$K$34</f>
        <v>37.5</v>
      </c>
      <c r="P222" s="36">
        <f>Table139159[[#This Row],[TOTAL OPERATOR HOURS]]*Table139159[[#This Row],[OPERATOR RATE]]</f>
        <v>37.5</v>
      </c>
      <c r="Q222" s="15">
        <v>0</v>
      </c>
      <c r="R222" s="13">
        <v>0</v>
      </c>
      <c r="S222" s="13">
        <v>0</v>
      </c>
      <c r="T222" s="85">
        <f>Table139159[[#This Row],[QUANTITY]]</f>
        <v>0</v>
      </c>
      <c r="U222" s="37">
        <f>SUM(Table139159[[#This Row],[OPERATOR COST]:[UTILITIES]])*Table139159[[#This Row],[FREQUENCY   (TIMES PER YEAR)]]</f>
        <v>450</v>
      </c>
    </row>
    <row r="223" spans="1:21" ht="30" x14ac:dyDescent="0.25">
      <c r="A223" s="98" t="str">
        <f>IF(Table139159[[#This Row],[QUANTITY]]&gt;0, "YES", "NO")</f>
        <v>NO</v>
      </c>
      <c r="B223" s="27" t="s">
        <v>257</v>
      </c>
      <c r="C223" s="12" t="s">
        <v>28</v>
      </c>
      <c r="D223" s="12" t="s">
        <v>260</v>
      </c>
      <c r="E223" s="12" t="s">
        <v>127</v>
      </c>
      <c r="F223" s="12" t="s">
        <v>304</v>
      </c>
      <c r="G223" s="103" t="s">
        <v>204</v>
      </c>
      <c r="H223" s="103" t="s">
        <v>10</v>
      </c>
      <c r="I223" s="103">
        <v>12</v>
      </c>
      <c r="J223" s="103">
        <f>IFERROR(VLOOKUP(Table139159[[#This Row],[WORK ORDER]], '1. BUILDING ASSET INVENTORY'!A:K, 10, FALSE),0)</f>
        <v>0</v>
      </c>
      <c r="K223" s="102" t="str">
        <f>IFERROR(VLOOKUP(Table139159[[#This Row],[WORK ORDER]], '1. BUILDING ASSET INVENTORY'!A:L, 11, FALSE),"")</f>
        <v>Enter Monthly Charge or 0 if N/A</v>
      </c>
      <c r="L223" s="109">
        <v>1</v>
      </c>
      <c r="M223" s="197"/>
      <c r="N223" s="109">
        <f>Table139159[[#This Row],[OPERATOR HOURS (BASE)]]+Table139159[[#This Row],[QUANTITY]]*Table139159[[#This Row],[OPERATOR HOURS (PER UNIT)]]</f>
        <v>1</v>
      </c>
      <c r="O223" s="36">
        <f>'TABLE OF CONTENTS'!$K$34</f>
        <v>37.5</v>
      </c>
      <c r="P223" s="36">
        <f>Table139159[[#This Row],[TOTAL OPERATOR HOURS]]*Table139159[[#This Row],[OPERATOR RATE]]</f>
        <v>37.5</v>
      </c>
      <c r="Q223" s="15">
        <v>0</v>
      </c>
      <c r="R223" s="13">
        <v>0</v>
      </c>
      <c r="S223" s="13">
        <v>0</v>
      </c>
      <c r="T223" s="85">
        <f>Table139159[[#This Row],[QUANTITY]]</f>
        <v>0</v>
      </c>
      <c r="U223" s="37">
        <f>SUM(Table139159[[#This Row],[OPERATOR COST]:[UTILITIES]])*Table139159[[#This Row],[FREQUENCY   (TIMES PER YEAR)]]</f>
        <v>450</v>
      </c>
    </row>
    <row r="224" spans="1:21" hidden="1" x14ac:dyDescent="0.25">
      <c r="A224" s="98" t="str">
        <f>IF(Table139159[[#This Row],[QUANTITY]]&gt;0, "YES", "NO")</f>
        <v>NO</v>
      </c>
      <c r="B224" s="27" t="s">
        <v>258</v>
      </c>
      <c r="C224" s="12" t="s">
        <v>28</v>
      </c>
      <c r="D224" s="12" t="s">
        <v>260</v>
      </c>
      <c r="E224" s="12" t="s">
        <v>53</v>
      </c>
      <c r="F224" s="12" t="s">
        <v>53</v>
      </c>
      <c r="G224" s="103" t="s">
        <v>15</v>
      </c>
      <c r="H224" s="103" t="s">
        <v>12</v>
      </c>
      <c r="I224" s="103">
        <v>0</v>
      </c>
      <c r="J224" s="103">
        <f>IFERROR(VLOOKUP(Table139159[[#This Row],[WORK ORDER]], '1. BUILDING ASSET INVENTORY'!A:K, 10, FALSE),0)</f>
        <v>0</v>
      </c>
      <c r="K224" s="102" t="str">
        <f>IFERROR(VLOOKUP(Table139159[[#This Row],[WORK ORDER]], '1. BUILDING ASSET INVENTORY'!A:L, 11, FALSE),"")</f>
        <v/>
      </c>
      <c r="L224" s="109"/>
      <c r="M224" s="197"/>
      <c r="N224" s="109">
        <f>Table139159[[#This Row],[OPERATOR HOURS (BASE)]]+Table139159[[#This Row],[QUANTITY]]*Table139159[[#This Row],[OPERATOR HOURS (PER UNIT)]]</f>
        <v>0</v>
      </c>
      <c r="O224" s="36">
        <f>'TABLE OF CONTENTS'!$K$34</f>
        <v>37.5</v>
      </c>
      <c r="P224" s="36">
        <f>Table139159[[#This Row],[TOTAL OPERATOR HOURS]]*Table139159[[#This Row],[OPERATOR RATE]]</f>
        <v>0</v>
      </c>
      <c r="Q224" s="15">
        <v>0</v>
      </c>
      <c r="R224" s="13">
        <v>0</v>
      </c>
      <c r="S224" s="13">
        <v>0</v>
      </c>
      <c r="T224" s="28"/>
      <c r="U224" s="37">
        <f>SUM(Table139159[[#This Row],[OPERATOR COST]:[UTILITIES]])*Table139159[[#This Row],[FREQUENCY   (TIMES PER YEAR)]]</f>
        <v>0</v>
      </c>
    </row>
    <row r="225" spans="1:21" hidden="1" x14ac:dyDescent="0.25">
      <c r="A225" s="98" t="str">
        <f>IF(Table139159[[#This Row],[QUANTITY]]&gt;0, "YES", "NO")</f>
        <v>NO</v>
      </c>
      <c r="B225" s="27" t="s">
        <v>308</v>
      </c>
      <c r="C225" s="12" t="s">
        <v>28</v>
      </c>
      <c r="D225" s="12" t="s">
        <v>260</v>
      </c>
      <c r="E225" s="12" t="s">
        <v>53</v>
      </c>
      <c r="F225" s="12" t="s">
        <v>53</v>
      </c>
      <c r="G225" s="103" t="s">
        <v>15</v>
      </c>
      <c r="H225" s="103" t="s">
        <v>12</v>
      </c>
      <c r="I225" s="103">
        <v>0</v>
      </c>
      <c r="J225" s="103">
        <f>IFERROR(VLOOKUP(Table139159[[#This Row],[WORK ORDER]], '1. BUILDING ASSET INVENTORY'!A:K, 10, FALSE),0)</f>
        <v>0</v>
      </c>
      <c r="K225" s="102" t="str">
        <f>IFERROR(VLOOKUP(Table139159[[#This Row],[WORK ORDER]], '1. BUILDING ASSET INVENTORY'!A:L, 11, FALSE),"")</f>
        <v/>
      </c>
      <c r="L225" s="109"/>
      <c r="M225" s="197"/>
      <c r="N225" s="109">
        <f>Table139159[[#This Row],[OPERATOR HOURS (BASE)]]+Table139159[[#This Row],[QUANTITY]]*Table139159[[#This Row],[OPERATOR HOURS (PER UNIT)]]</f>
        <v>0</v>
      </c>
      <c r="O225" s="36">
        <f>'TABLE OF CONTENTS'!$K$34</f>
        <v>37.5</v>
      </c>
      <c r="P225" s="36">
        <f>Table139159[[#This Row],[TOTAL OPERATOR HOURS]]*Table139159[[#This Row],[OPERATOR RATE]]</f>
        <v>0</v>
      </c>
      <c r="Q225" s="15">
        <v>0</v>
      </c>
      <c r="R225" s="13">
        <v>0</v>
      </c>
      <c r="S225" s="13">
        <v>0</v>
      </c>
      <c r="T225" s="28"/>
      <c r="U225" s="37">
        <f>SUM(Table139159[[#This Row],[OPERATOR COST]:[UTILITIES]])*Table139159[[#This Row],[FREQUENCY   (TIMES PER YEAR)]]</f>
        <v>0</v>
      </c>
    </row>
    <row r="226" spans="1:21" hidden="1" x14ac:dyDescent="0.25">
      <c r="A226" s="98" t="str">
        <f>IF(Table139159[[#This Row],[QUANTITY]]&gt;0, "YES", "NO")</f>
        <v>NO</v>
      </c>
      <c r="B226" s="27" t="s">
        <v>309</v>
      </c>
      <c r="C226" s="12" t="s">
        <v>28</v>
      </c>
      <c r="D226" s="12" t="s">
        <v>260</v>
      </c>
      <c r="E226" s="12" t="s">
        <v>53</v>
      </c>
      <c r="F226" s="12" t="s">
        <v>53</v>
      </c>
      <c r="G226" s="103" t="s">
        <v>15</v>
      </c>
      <c r="H226" s="103" t="s">
        <v>12</v>
      </c>
      <c r="I226" s="103">
        <v>0</v>
      </c>
      <c r="J226" s="103">
        <f>IFERROR(VLOOKUP(Table139159[[#This Row],[WORK ORDER]], '1. BUILDING ASSET INVENTORY'!A:K, 10, FALSE),0)</f>
        <v>0</v>
      </c>
      <c r="K226" s="102" t="str">
        <f>IFERROR(VLOOKUP(Table139159[[#This Row],[WORK ORDER]], '1. BUILDING ASSET INVENTORY'!A:L, 11, FALSE),"")</f>
        <v/>
      </c>
      <c r="L226" s="109"/>
      <c r="M226" s="197"/>
      <c r="N226" s="109">
        <f>Table139159[[#This Row],[OPERATOR HOURS (BASE)]]+Table139159[[#This Row],[QUANTITY]]*Table139159[[#This Row],[OPERATOR HOURS (PER UNIT)]]</f>
        <v>0</v>
      </c>
      <c r="O226" s="36">
        <f>'TABLE OF CONTENTS'!$K$34</f>
        <v>37.5</v>
      </c>
      <c r="P226" s="36">
        <f>Table139159[[#This Row],[TOTAL OPERATOR HOURS]]*Table139159[[#This Row],[OPERATOR RATE]]</f>
        <v>0</v>
      </c>
      <c r="Q226" s="15">
        <v>0</v>
      </c>
      <c r="R226" s="13">
        <v>0</v>
      </c>
      <c r="S226" s="13">
        <v>0</v>
      </c>
      <c r="T226" s="28"/>
      <c r="U226" s="37">
        <f>SUM(Table139159[[#This Row],[OPERATOR COST]:[UTILITIES]])*Table139159[[#This Row],[FREQUENCY   (TIMES PER YEAR)]]</f>
        <v>0</v>
      </c>
    </row>
    <row r="227" spans="1:21" x14ac:dyDescent="0.25">
      <c r="A227" s="98" t="str">
        <f>IF(Table139159[[#This Row],[QUANTITY]]&gt;0, "YES", "NO")</f>
        <v>NO</v>
      </c>
      <c r="B227" s="27" t="s">
        <v>729</v>
      </c>
      <c r="C227" s="12" t="s">
        <v>30</v>
      </c>
      <c r="D227" s="12" t="s">
        <v>99</v>
      </c>
      <c r="E227" s="12" t="s">
        <v>102</v>
      </c>
      <c r="F227" s="12" t="s">
        <v>536</v>
      </c>
      <c r="G227" s="107" t="s">
        <v>204</v>
      </c>
      <c r="H227" s="103" t="s">
        <v>132</v>
      </c>
      <c r="I227" s="103">
        <f>1/10</f>
        <v>0.1</v>
      </c>
      <c r="J227" s="103">
        <f>IFERROR(VLOOKUP(Table139159[[#This Row],[WORK ORDER]], '1. BUILDING ASSET INVENTORY'!A:K, 10, FALSE),0)</f>
        <v>0</v>
      </c>
      <c r="K227" s="102" t="str">
        <f>IFERROR(VLOOKUP(Table139159[[#This Row],[WORK ORDER]], '1. BUILDING ASSET INVENTORY'!A:L, 11, FALSE),"")</f>
        <v>Each</v>
      </c>
      <c r="L227" s="109">
        <v>1</v>
      </c>
      <c r="M227" s="197">
        <v>4</v>
      </c>
      <c r="N227" s="109">
        <f>Table139159[[#This Row],[OPERATOR HOURS (BASE)]]+Table139159[[#This Row],[QUANTITY]]*Table139159[[#This Row],[OPERATOR HOURS (PER UNIT)]]</f>
        <v>1</v>
      </c>
      <c r="O227" s="36">
        <f>'TABLE OF CONTENTS'!$K$34</f>
        <v>37.5</v>
      </c>
      <c r="P227" s="36">
        <f>Table139159[[#This Row],[TOTAL OPERATOR HOURS]]*Table139159[[#This Row],[OPERATOR RATE]]</f>
        <v>37.5</v>
      </c>
      <c r="Q227" s="14">
        <f>PRODUCT(Table139159[[#This Row],[QUANTITY]],2500)</f>
        <v>0</v>
      </c>
      <c r="R227" s="13">
        <v>0</v>
      </c>
      <c r="S227" s="13">
        <v>0</v>
      </c>
      <c r="T227" s="28"/>
      <c r="U227" s="37">
        <f>SUM(Table139159[[#This Row],[OPERATOR COST]:[UTILITIES]])*Table139159[[#This Row],[FREQUENCY   (TIMES PER YEAR)]]</f>
        <v>3.75</v>
      </c>
    </row>
    <row r="228" spans="1:21" hidden="1" x14ac:dyDescent="0.25">
      <c r="A228" s="98" t="str">
        <f>IF(Table139159[[#This Row],[QUANTITY]]&gt;0, "YES", "NO")</f>
        <v>NO</v>
      </c>
      <c r="B228" s="27" t="s">
        <v>730</v>
      </c>
      <c r="C228" s="12" t="s">
        <v>30</v>
      </c>
      <c r="D228" s="12" t="s">
        <v>99</v>
      </c>
      <c r="E228" s="12" t="s">
        <v>53</v>
      </c>
      <c r="F228" s="12" t="s">
        <v>53</v>
      </c>
      <c r="G228" s="103" t="s">
        <v>15</v>
      </c>
      <c r="H228" s="103" t="s">
        <v>12</v>
      </c>
      <c r="I228" s="103">
        <v>0</v>
      </c>
      <c r="J228" s="103">
        <f>IFERROR(VLOOKUP(Table139159[[#This Row],[WORK ORDER]], '1. BUILDING ASSET INVENTORY'!A:K, 10, FALSE),0)</f>
        <v>0</v>
      </c>
      <c r="K228" s="102" t="str">
        <f>IFERROR(VLOOKUP(Table139159[[#This Row],[WORK ORDER]], '1. BUILDING ASSET INVENTORY'!A:L, 11, FALSE),"")</f>
        <v/>
      </c>
      <c r="L228" s="109"/>
      <c r="M228" s="197"/>
      <c r="N228" s="109">
        <f>Table139159[[#This Row],[OPERATOR HOURS (BASE)]]+Table139159[[#This Row],[QUANTITY]]*Table139159[[#This Row],[OPERATOR HOURS (PER UNIT)]]</f>
        <v>0</v>
      </c>
      <c r="O228" s="36">
        <f>'TABLE OF CONTENTS'!$K$34</f>
        <v>37.5</v>
      </c>
      <c r="P228" s="36">
        <f>Table139159[[#This Row],[TOTAL OPERATOR HOURS]]*Table139159[[#This Row],[OPERATOR RATE]]</f>
        <v>0</v>
      </c>
      <c r="Q228" s="14">
        <v>0</v>
      </c>
      <c r="R228" s="13">
        <v>0</v>
      </c>
      <c r="S228" s="13">
        <v>0</v>
      </c>
      <c r="T228" s="28"/>
      <c r="U228" s="37">
        <f>SUM(Table139159[[#This Row],[OPERATOR COST]:[UTILITIES]])*Table139159[[#This Row],[FREQUENCY   (TIMES PER YEAR)]]</f>
        <v>0</v>
      </c>
    </row>
    <row r="229" spans="1:21" hidden="1" x14ac:dyDescent="0.25">
      <c r="A229" s="98" t="str">
        <f>IF(Table139159[[#This Row],[QUANTITY]]&gt;0, "YES", "NO")</f>
        <v>NO</v>
      </c>
      <c r="B229" s="27" t="s">
        <v>731</v>
      </c>
      <c r="C229" s="12" t="s">
        <v>30</v>
      </c>
      <c r="D229" s="12" t="s">
        <v>99</v>
      </c>
      <c r="E229" s="12" t="s">
        <v>53</v>
      </c>
      <c r="F229" s="12" t="s">
        <v>53</v>
      </c>
      <c r="G229" s="103" t="s">
        <v>15</v>
      </c>
      <c r="H229" s="103" t="s">
        <v>12</v>
      </c>
      <c r="I229" s="103">
        <v>0</v>
      </c>
      <c r="J229" s="103">
        <f>IFERROR(VLOOKUP(Table139159[[#This Row],[WORK ORDER]], '1. BUILDING ASSET INVENTORY'!A:K, 10, FALSE),0)</f>
        <v>0</v>
      </c>
      <c r="K229" s="102" t="str">
        <f>IFERROR(VLOOKUP(Table139159[[#This Row],[WORK ORDER]], '1. BUILDING ASSET INVENTORY'!A:L, 11, FALSE),"")</f>
        <v/>
      </c>
      <c r="L229" s="109"/>
      <c r="M229" s="197"/>
      <c r="N229" s="109">
        <f>Table139159[[#This Row],[OPERATOR HOURS (BASE)]]+Table139159[[#This Row],[QUANTITY]]*Table139159[[#This Row],[OPERATOR HOURS (PER UNIT)]]</f>
        <v>0</v>
      </c>
      <c r="O229" s="36">
        <f>'TABLE OF CONTENTS'!$K$34</f>
        <v>37.5</v>
      </c>
      <c r="P229" s="36">
        <f>Table139159[[#This Row],[TOTAL OPERATOR HOURS]]*Table139159[[#This Row],[OPERATOR RATE]]</f>
        <v>0</v>
      </c>
      <c r="Q229" s="14">
        <v>0</v>
      </c>
      <c r="R229" s="13">
        <v>0</v>
      </c>
      <c r="S229" s="13">
        <v>0</v>
      </c>
      <c r="T229" s="28"/>
      <c r="U229" s="37">
        <f>SUM(Table139159[[#This Row],[OPERATOR COST]:[UTILITIES]])*Table139159[[#This Row],[FREQUENCY   (TIMES PER YEAR)]]</f>
        <v>0</v>
      </c>
    </row>
    <row r="230" spans="1:21" x14ac:dyDescent="0.25">
      <c r="A230" s="98" t="str">
        <f>IF(Table139159[[#This Row],[QUANTITY]]&gt;0, "YES", "NO")</f>
        <v>NO</v>
      </c>
      <c r="B230" s="27" t="s">
        <v>732</v>
      </c>
      <c r="C230" s="12" t="s">
        <v>30</v>
      </c>
      <c r="D230" s="12" t="s">
        <v>99</v>
      </c>
      <c r="E230" s="12" t="s">
        <v>102</v>
      </c>
      <c r="F230" s="12" t="s">
        <v>537</v>
      </c>
      <c r="G230" s="107" t="s">
        <v>204</v>
      </c>
      <c r="H230" s="103" t="s">
        <v>132</v>
      </c>
      <c r="I230" s="103">
        <f>1/10</f>
        <v>0.1</v>
      </c>
      <c r="J230" s="103">
        <f>IFERROR(VLOOKUP(Table139159[[#This Row],[WORK ORDER]], '1. BUILDING ASSET INVENTORY'!A:K, 10, FALSE),0)</f>
        <v>0</v>
      </c>
      <c r="K230" s="102" t="str">
        <f>IFERROR(VLOOKUP(Table139159[[#This Row],[WORK ORDER]], '1. BUILDING ASSET INVENTORY'!A:L, 11, FALSE),"")</f>
        <v>Each</v>
      </c>
      <c r="L230" s="109">
        <v>1</v>
      </c>
      <c r="M230" s="197">
        <v>6</v>
      </c>
      <c r="N230" s="109">
        <f>Table139159[[#This Row],[OPERATOR HOURS (BASE)]]+Table139159[[#This Row],[QUANTITY]]*Table139159[[#This Row],[OPERATOR HOURS (PER UNIT)]]</f>
        <v>1</v>
      </c>
      <c r="O230" s="36">
        <f>'TABLE OF CONTENTS'!$K$34</f>
        <v>37.5</v>
      </c>
      <c r="P230" s="36">
        <f>Table139159[[#This Row],[TOTAL OPERATOR HOURS]]*Table139159[[#This Row],[OPERATOR RATE]]</f>
        <v>37.5</v>
      </c>
      <c r="Q230" s="14">
        <f>PRODUCT(Table139159[[#This Row],[QUANTITY]],4000)</f>
        <v>0</v>
      </c>
      <c r="R230" s="13">
        <v>0</v>
      </c>
      <c r="S230" s="13">
        <v>0</v>
      </c>
      <c r="T230" s="28"/>
      <c r="U230" s="37">
        <f>SUM(Table139159[[#This Row],[OPERATOR COST]:[UTILITIES]])*Table139159[[#This Row],[FREQUENCY   (TIMES PER YEAR)]]</f>
        <v>3.75</v>
      </c>
    </row>
    <row r="231" spans="1:21" ht="30" hidden="1" x14ac:dyDescent="0.25">
      <c r="A231" s="98" t="str">
        <f>IF(Table139159[[#This Row],[QUANTITY]]&gt;0, "YES", "NO")</f>
        <v>NO</v>
      </c>
      <c r="B231" s="27" t="s">
        <v>733</v>
      </c>
      <c r="C231" s="12" t="s">
        <v>30</v>
      </c>
      <c r="D231" s="12" t="s">
        <v>99</v>
      </c>
      <c r="E231" s="12" t="s">
        <v>102</v>
      </c>
      <c r="F231" s="12" t="s">
        <v>538</v>
      </c>
      <c r="G231" s="103" t="s">
        <v>217</v>
      </c>
      <c r="H231" s="103" t="s">
        <v>286</v>
      </c>
      <c r="I231" s="103">
        <f>1/20</f>
        <v>0.05</v>
      </c>
      <c r="J231" s="103">
        <f>IFERROR(VLOOKUP(Table139159[[#This Row],[WORK ORDER]], '1. BUILDING ASSET INVENTORY'!A:K, 10, FALSE),0)</f>
        <v>0</v>
      </c>
      <c r="K231" s="102" t="str">
        <f>IFERROR(VLOOKUP(Table139159[[#This Row],[WORK ORDER]], '1. BUILDING ASSET INVENTORY'!A:L, 11, FALSE),"")</f>
        <v>Each</v>
      </c>
      <c r="L231" s="109">
        <v>1</v>
      </c>
      <c r="M231" s="197">
        <v>8</v>
      </c>
      <c r="N231" s="109">
        <f>Table139159[[#This Row],[OPERATOR HOURS (BASE)]]+Table139159[[#This Row],[QUANTITY]]*Table139159[[#This Row],[OPERATOR HOURS (PER UNIT)]]</f>
        <v>1</v>
      </c>
      <c r="O231" s="36">
        <f>'TABLE OF CONTENTS'!$K$34</f>
        <v>37.5</v>
      </c>
      <c r="P231" s="36">
        <f>Table139159[[#This Row],[TOTAL OPERATOR HOURS]]*Table139159[[#This Row],[OPERATOR RATE]]</f>
        <v>37.5</v>
      </c>
      <c r="Q231" s="15">
        <v>0</v>
      </c>
      <c r="R231" s="13">
        <v>0</v>
      </c>
      <c r="S231" s="13">
        <v>0</v>
      </c>
      <c r="T231" s="28"/>
      <c r="U231" s="37">
        <f>SUM(Table139159[[#This Row],[OPERATOR COST]:[UTILITIES]])*Table139159[[#This Row],[FREQUENCY   (TIMES PER YEAR)]]</f>
        <v>1.875</v>
      </c>
    </row>
    <row r="232" spans="1:21" x14ac:dyDescent="0.25">
      <c r="A232" s="98" t="str">
        <f>IF(Table139159[[#This Row],[QUANTITY]]&gt;0, "YES", "NO")</f>
        <v>NO</v>
      </c>
      <c r="B232" s="27" t="s">
        <v>734</v>
      </c>
      <c r="C232" s="17" t="s">
        <v>30</v>
      </c>
      <c r="D232" s="17" t="s">
        <v>99</v>
      </c>
      <c r="E232" s="17" t="s">
        <v>102</v>
      </c>
      <c r="F232" s="17" t="s">
        <v>539</v>
      </c>
      <c r="G232" s="107" t="s">
        <v>204</v>
      </c>
      <c r="H232" s="107" t="s">
        <v>8</v>
      </c>
      <c r="I232" s="107">
        <v>1</v>
      </c>
      <c r="J232" s="107">
        <f>IFERROR(VLOOKUP(Table139159[[#This Row],[WORK ORDER]], '1. BUILDING ASSET INVENTORY'!A:K, 10, FALSE),0)</f>
        <v>0</v>
      </c>
      <c r="K232" s="102" t="str">
        <f>IFERROR(VLOOKUP(Table139159[[#This Row],[WORK ORDER]], '1. BUILDING ASSET INVENTORY'!A:L, 11, FALSE),"")</f>
        <v>Each</v>
      </c>
      <c r="L232" s="111">
        <v>1</v>
      </c>
      <c r="M232" s="199">
        <v>2</v>
      </c>
      <c r="N232" s="111">
        <f>Table139159[[#This Row],[OPERATOR HOURS (BASE)]]+Table139159[[#This Row],[QUANTITY]]*Table139159[[#This Row],[OPERATOR HOURS (PER UNIT)]]</f>
        <v>1</v>
      </c>
      <c r="O232" s="36">
        <f>'TABLE OF CONTENTS'!$K$34</f>
        <v>37.5</v>
      </c>
      <c r="P232" s="36">
        <f>Table139159[[#This Row],[TOTAL OPERATOR HOURS]]*Table139159[[#This Row],[OPERATOR RATE]]</f>
        <v>37.5</v>
      </c>
      <c r="Q232" s="14">
        <f>PRODUCT(Table139159[[#This Row],[QUANTITY]],250)</f>
        <v>0</v>
      </c>
      <c r="R232" s="19">
        <v>0</v>
      </c>
      <c r="S232" s="19">
        <v>0</v>
      </c>
      <c r="T232" s="31"/>
      <c r="U232" s="37">
        <f>SUM(Table139159[[#This Row],[OPERATOR COST]:[UTILITIES]])*Table139159[[#This Row],[FREQUENCY   (TIMES PER YEAR)]]</f>
        <v>37.5</v>
      </c>
    </row>
    <row r="233" spans="1:21" x14ac:dyDescent="0.25">
      <c r="A233" s="98" t="str">
        <f>IF(Table139159[[#This Row],[QUANTITY]]&gt;0, "YES", "NO")</f>
        <v>NO</v>
      </c>
      <c r="B233" s="27" t="s">
        <v>735</v>
      </c>
      <c r="C233" s="12" t="s">
        <v>30</v>
      </c>
      <c r="D233" s="12" t="s">
        <v>99</v>
      </c>
      <c r="E233" s="12" t="s">
        <v>100</v>
      </c>
      <c r="F233" s="12" t="s">
        <v>310</v>
      </c>
      <c r="G233" s="103" t="s">
        <v>204</v>
      </c>
      <c r="H233" s="103" t="s">
        <v>12</v>
      </c>
      <c r="I233" s="103">
        <v>2</v>
      </c>
      <c r="J233" s="103">
        <f>IFERROR(VLOOKUP(Table139159[[#This Row],[WORK ORDER]], '1. BUILDING ASSET INVENTORY'!A:K, 10, FALSE),0)</f>
        <v>0</v>
      </c>
      <c r="K233" s="102" t="str">
        <f>IFERROR(VLOOKUP(Table139159[[#This Row],[WORK ORDER]], '1. BUILDING ASSET INVENTORY'!A:L, 11, FALSE),"")</f>
        <v>Each</v>
      </c>
      <c r="L233" s="109">
        <v>1</v>
      </c>
      <c r="M233" s="197">
        <v>4</v>
      </c>
      <c r="N233" s="109">
        <f>Table139159[[#This Row],[OPERATOR HOURS (BASE)]]+Table139159[[#This Row],[QUANTITY]]*Table139159[[#This Row],[OPERATOR HOURS (PER UNIT)]]</f>
        <v>1</v>
      </c>
      <c r="O233" s="36">
        <f>'TABLE OF CONTENTS'!$K$34</f>
        <v>37.5</v>
      </c>
      <c r="P233" s="36">
        <f>Table139159[[#This Row],[TOTAL OPERATOR HOURS]]*Table139159[[#This Row],[OPERATOR RATE]]</f>
        <v>37.5</v>
      </c>
      <c r="Q233" s="14">
        <v>0</v>
      </c>
      <c r="R233" s="13">
        <v>100</v>
      </c>
      <c r="S233" s="13">
        <v>50</v>
      </c>
      <c r="T233" s="28"/>
      <c r="U233" s="37">
        <f>SUM(Table139159[[#This Row],[OPERATOR COST]:[UTILITIES]])*Table139159[[#This Row],[FREQUENCY   (TIMES PER YEAR)]]</f>
        <v>375</v>
      </c>
    </row>
    <row r="234" spans="1:21" x14ac:dyDescent="0.25">
      <c r="A234" s="98" t="str">
        <f>IF(Table139159[[#This Row],[QUANTITY]]&gt;0, "YES", "NO")</f>
        <v>NO</v>
      </c>
      <c r="B234" s="27" t="s">
        <v>736</v>
      </c>
      <c r="C234" s="20" t="s">
        <v>30</v>
      </c>
      <c r="D234" s="20" t="s">
        <v>99</v>
      </c>
      <c r="E234" s="20" t="s">
        <v>101</v>
      </c>
      <c r="F234" s="20" t="s">
        <v>540</v>
      </c>
      <c r="G234" s="103" t="s">
        <v>204</v>
      </c>
      <c r="H234" s="105" t="s">
        <v>132</v>
      </c>
      <c r="I234" s="105">
        <f>1/10</f>
        <v>0.1</v>
      </c>
      <c r="J234" s="105">
        <f>IFERROR(VLOOKUP(Table139159[[#This Row],[WORK ORDER]], '1. BUILDING ASSET INVENTORY'!A:K, 10, FALSE),0)</f>
        <v>0</v>
      </c>
      <c r="K234" s="102" t="str">
        <f>IFERROR(VLOOKUP(Table139159[[#This Row],[WORK ORDER]], '1. BUILDING ASSET INVENTORY'!A:L, 11, FALSE),"")</f>
        <v>Each</v>
      </c>
      <c r="L234" s="110">
        <v>1</v>
      </c>
      <c r="M234" s="198">
        <v>4</v>
      </c>
      <c r="N234" s="110">
        <f>Table139159[[#This Row],[OPERATOR HOURS (BASE)]]+Table139159[[#This Row],[QUANTITY]]*Table139159[[#This Row],[OPERATOR HOURS (PER UNIT)]]</f>
        <v>1</v>
      </c>
      <c r="O234" s="36">
        <f>'TABLE OF CONTENTS'!$K$34</f>
        <v>37.5</v>
      </c>
      <c r="P234" s="36">
        <f>Table139159[[#This Row],[TOTAL OPERATOR HOURS]]*Table139159[[#This Row],[OPERATOR RATE]]</f>
        <v>37.5</v>
      </c>
      <c r="Q234" s="21">
        <v>0</v>
      </c>
      <c r="R234" s="22">
        <v>0</v>
      </c>
      <c r="S234" s="22">
        <v>600</v>
      </c>
      <c r="T234" s="32"/>
      <c r="U234" s="37">
        <f>SUM(Table139159[[#This Row],[OPERATOR COST]:[UTILITIES]])*Table139159[[#This Row],[FREQUENCY   (TIMES PER YEAR)]]</f>
        <v>63.75</v>
      </c>
    </row>
    <row r="235" spans="1:21" x14ac:dyDescent="0.25">
      <c r="A235" s="98" t="str">
        <f>IF(Table139159[[#This Row],[QUANTITY]]&gt;0, "YES", "NO")</f>
        <v>NO</v>
      </c>
      <c r="B235" s="27" t="s">
        <v>737</v>
      </c>
      <c r="C235" s="12" t="s">
        <v>30</v>
      </c>
      <c r="D235" s="12" t="s">
        <v>99</v>
      </c>
      <c r="E235" s="12" t="s">
        <v>102</v>
      </c>
      <c r="F235" s="45" t="s">
        <v>373</v>
      </c>
      <c r="G235" s="103" t="s">
        <v>204</v>
      </c>
      <c r="H235" s="103" t="s">
        <v>12</v>
      </c>
      <c r="I235" s="103">
        <v>1</v>
      </c>
      <c r="J235" s="103">
        <f>IFERROR(VLOOKUP(Table139159[[#This Row],[WORK ORDER]], '1. BUILDING ASSET INVENTORY'!A:K, 10, FALSE),0)</f>
        <v>0</v>
      </c>
      <c r="K235" s="102" t="str">
        <f>IFERROR(VLOOKUP(Table139159[[#This Row],[WORK ORDER]], '1. BUILDING ASSET INVENTORY'!A:L, 11, FALSE),"")</f>
        <v>Each</v>
      </c>
      <c r="L235" s="109">
        <v>1</v>
      </c>
      <c r="M235" s="197">
        <v>4</v>
      </c>
      <c r="N235" s="109">
        <f>Table139159[[#This Row],[OPERATOR HOURS (BASE)]]+Table139159[[#This Row],[QUANTITY]]*Table139159[[#This Row],[OPERATOR HOURS (PER UNIT)]]</f>
        <v>1</v>
      </c>
      <c r="O235" s="36">
        <f>'TABLE OF CONTENTS'!$K$34</f>
        <v>37.5</v>
      </c>
      <c r="P235" s="36">
        <f>Table139159[[#This Row],[TOTAL OPERATOR HOURS]]*Table139159[[#This Row],[OPERATOR RATE]]</f>
        <v>37.5</v>
      </c>
      <c r="Q235" s="14">
        <f>PRODUCT(Table139159[[#This Row],[QUANTITY]],2500)</f>
        <v>0</v>
      </c>
      <c r="R235" s="13">
        <v>0</v>
      </c>
      <c r="S235" s="13">
        <v>0</v>
      </c>
      <c r="T235" s="28"/>
      <c r="U235" s="37">
        <f>SUM(Table139159[[#This Row],[OPERATOR COST]:[UTILITIES]])*Table139159[[#This Row],[FREQUENCY   (TIMES PER YEAR)]]</f>
        <v>37.5</v>
      </c>
    </row>
    <row r="236" spans="1:21" hidden="1" x14ac:dyDescent="0.25">
      <c r="A236" s="98" t="str">
        <f>IF(Table139159[[#This Row],[QUANTITY]]&gt;0, "YES", "NO")</f>
        <v>NO</v>
      </c>
      <c r="B236" s="27" t="s">
        <v>393</v>
      </c>
      <c r="C236" s="12" t="s">
        <v>30</v>
      </c>
      <c r="D236" s="12" t="s">
        <v>99</v>
      </c>
      <c r="E236" s="12" t="s">
        <v>53</v>
      </c>
      <c r="F236" s="12" t="s">
        <v>53</v>
      </c>
      <c r="G236" s="103" t="s">
        <v>15</v>
      </c>
      <c r="H236" s="103" t="s">
        <v>12</v>
      </c>
      <c r="I236" s="103">
        <v>0</v>
      </c>
      <c r="J236" s="103">
        <f>IFERROR(VLOOKUP(Table139159[[#This Row],[WORK ORDER]], '1. BUILDING ASSET INVENTORY'!A:K, 10, FALSE),0)</f>
        <v>0</v>
      </c>
      <c r="K236" s="102" t="str">
        <f>IFERROR(VLOOKUP(Table139159[[#This Row],[WORK ORDER]], '1. BUILDING ASSET INVENTORY'!A:L, 11, FALSE),"")</f>
        <v/>
      </c>
      <c r="L236" s="109"/>
      <c r="M236" s="197"/>
      <c r="N236" s="109">
        <f>Table139159[[#This Row],[OPERATOR HOURS (BASE)]]+Table139159[[#This Row],[QUANTITY]]*Table139159[[#This Row],[OPERATOR HOURS (PER UNIT)]]</f>
        <v>0</v>
      </c>
      <c r="O236" s="36">
        <f>'TABLE OF CONTENTS'!$K$34</f>
        <v>37.5</v>
      </c>
      <c r="P236" s="36">
        <f>Table139159[[#This Row],[TOTAL OPERATOR HOURS]]*Table139159[[#This Row],[OPERATOR RATE]]</f>
        <v>0</v>
      </c>
      <c r="Q236" s="14">
        <v>0</v>
      </c>
      <c r="R236" s="13">
        <v>0</v>
      </c>
      <c r="S236" s="13">
        <v>0</v>
      </c>
      <c r="T236" s="28"/>
      <c r="U236" s="37">
        <f>SUM(Table139159[[#This Row],[OPERATOR COST]:[UTILITIES]])*Table139159[[#This Row],[FREQUENCY   (TIMES PER YEAR)]]</f>
        <v>0</v>
      </c>
    </row>
    <row r="237" spans="1:21" hidden="1" x14ac:dyDescent="0.25">
      <c r="A237" s="98" t="str">
        <f>IF(Table139159[[#This Row],[QUANTITY]]&gt;0, "YES", "NO")</f>
        <v>NO</v>
      </c>
      <c r="B237" s="27" t="s">
        <v>394</v>
      </c>
      <c r="C237" s="12" t="s">
        <v>30</v>
      </c>
      <c r="D237" s="12" t="s">
        <v>99</v>
      </c>
      <c r="E237" s="12" t="s">
        <v>53</v>
      </c>
      <c r="F237" s="12" t="s">
        <v>53</v>
      </c>
      <c r="G237" s="103" t="s">
        <v>15</v>
      </c>
      <c r="H237" s="103" t="s">
        <v>12</v>
      </c>
      <c r="I237" s="103">
        <v>0</v>
      </c>
      <c r="J237" s="103">
        <f>IFERROR(VLOOKUP(Table139159[[#This Row],[WORK ORDER]], '1. BUILDING ASSET INVENTORY'!A:K, 10, FALSE),0)</f>
        <v>0</v>
      </c>
      <c r="K237" s="102" t="str">
        <f>IFERROR(VLOOKUP(Table139159[[#This Row],[WORK ORDER]], '1. BUILDING ASSET INVENTORY'!A:L, 11, FALSE),"")</f>
        <v/>
      </c>
      <c r="L237" s="109"/>
      <c r="M237" s="197"/>
      <c r="N237" s="109">
        <f>Table139159[[#This Row],[OPERATOR HOURS (BASE)]]+Table139159[[#This Row],[QUANTITY]]*Table139159[[#This Row],[OPERATOR HOURS (PER UNIT)]]</f>
        <v>0</v>
      </c>
      <c r="O237" s="36">
        <f>'TABLE OF CONTENTS'!$K$34</f>
        <v>37.5</v>
      </c>
      <c r="P237" s="36">
        <f>Table139159[[#This Row],[TOTAL OPERATOR HOURS]]*Table139159[[#This Row],[OPERATOR RATE]]</f>
        <v>0</v>
      </c>
      <c r="Q237" s="14">
        <v>0</v>
      </c>
      <c r="R237" s="13">
        <v>0</v>
      </c>
      <c r="S237" s="13">
        <v>0</v>
      </c>
      <c r="T237" s="28"/>
      <c r="U237" s="37">
        <f>SUM(Table139159[[#This Row],[OPERATOR COST]:[UTILITIES]])*Table139159[[#This Row],[FREQUENCY   (TIMES PER YEAR)]]</f>
        <v>0</v>
      </c>
    </row>
    <row r="238" spans="1:21" x14ac:dyDescent="0.25">
      <c r="A238" s="98" t="str">
        <f>IF(Table139159[[#This Row],[QUANTITY]]&gt;0, "YES", "NO")</f>
        <v>NO</v>
      </c>
      <c r="B238" s="27" t="s">
        <v>738</v>
      </c>
      <c r="C238" s="12" t="s">
        <v>30</v>
      </c>
      <c r="D238" s="12" t="s">
        <v>344</v>
      </c>
      <c r="E238" s="12" t="s">
        <v>1</v>
      </c>
      <c r="F238" s="12" t="s">
        <v>541</v>
      </c>
      <c r="G238" s="103" t="s">
        <v>204</v>
      </c>
      <c r="H238" s="103" t="s">
        <v>11</v>
      </c>
      <c r="I238" s="103">
        <v>4</v>
      </c>
      <c r="J238" s="103">
        <f>IFERROR(VLOOKUP(Table139159[[#This Row],[WORK ORDER]], '1. BUILDING ASSET INVENTORY'!A:K, 10, FALSE),0)</f>
        <v>0</v>
      </c>
      <c r="K238" s="102" t="str">
        <f>IFERROR(VLOOKUP(Table139159[[#This Row],[WORK ORDER]], '1. BUILDING ASSET INVENTORY'!A:L, 11, FALSE),"")</f>
        <v>Each</v>
      </c>
      <c r="L238" s="109">
        <v>1</v>
      </c>
      <c r="M238" s="197">
        <v>2</v>
      </c>
      <c r="N238" s="109">
        <f>Table139159[[#This Row],[OPERATOR HOURS (BASE)]]+Table139159[[#This Row],[QUANTITY]]*Table139159[[#This Row],[OPERATOR HOURS (PER UNIT)]]</f>
        <v>1</v>
      </c>
      <c r="O238" s="36">
        <f>'TABLE OF CONTENTS'!$K$34</f>
        <v>37.5</v>
      </c>
      <c r="P238" s="36">
        <f>Table139159[[#This Row],[TOTAL OPERATOR HOURS]]*Table139159[[#This Row],[OPERATOR RATE]]</f>
        <v>37.5</v>
      </c>
      <c r="Q238" s="14">
        <v>0</v>
      </c>
      <c r="R238" s="13">
        <v>0</v>
      </c>
      <c r="S238" s="13">
        <v>50</v>
      </c>
      <c r="T238" s="28"/>
      <c r="U238" s="37">
        <f>SUM(Table139159[[#This Row],[OPERATOR COST]:[UTILITIES]])*Table139159[[#This Row],[FREQUENCY   (TIMES PER YEAR)]]</f>
        <v>350</v>
      </c>
    </row>
    <row r="239" spans="1:21" hidden="1" x14ac:dyDescent="0.25">
      <c r="A239" s="98" t="str">
        <f>IF(Table139159[[#This Row],[QUANTITY]]&gt;0, "YES", "NO")</f>
        <v>NO</v>
      </c>
      <c r="B239" s="27" t="s">
        <v>739</v>
      </c>
      <c r="C239" s="12" t="s">
        <v>30</v>
      </c>
      <c r="D239" s="12" t="s">
        <v>344</v>
      </c>
      <c r="E239" s="12" t="s">
        <v>53</v>
      </c>
      <c r="F239" s="12" t="s">
        <v>53</v>
      </c>
      <c r="G239" s="103" t="s">
        <v>15</v>
      </c>
      <c r="H239" s="103" t="s">
        <v>12</v>
      </c>
      <c r="I239" s="103">
        <v>0</v>
      </c>
      <c r="J239" s="103">
        <f>IFERROR(VLOOKUP(Table139159[[#This Row],[WORK ORDER]], '1. BUILDING ASSET INVENTORY'!A:K, 10, FALSE),0)</f>
        <v>0</v>
      </c>
      <c r="K239" s="102" t="str">
        <f>IFERROR(VLOOKUP(Table139159[[#This Row],[WORK ORDER]], '1. BUILDING ASSET INVENTORY'!A:L, 11, FALSE),"")</f>
        <v/>
      </c>
      <c r="L239" s="109"/>
      <c r="M239" s="197"/>
      <c r="N239" s="109">
        <f>Table139159[[#This Row],[OPERATOR HOURS (BASE)]]+Table139159[[#This Row],[QUANTITY]]*Table139159[[#This Row],[OPERATOR HOURS (PER UNIT)]]</f>
        <v>0</v>
      </c>
      <c r="O239" s="36">
        <f>'TABLE OF CONTENTS'!$K$34</f>
        <v>37.5</v>
      </c>
      <c r="P239" s="36">
        <f>Table139159[[#This Row],[TOTAL OPERATOR HOURS]]*Table139159[[#This Row],[OPERATOR RATE]]</f>
        <v>0</v>
      </c>
      <c r="Q239" s="14">
        <v>0</v>
      </c>
      <c r="R239" s="13">
        <v>0</v>
      </c>
      <c r="S239" s="13">
        <v>0</v>
      </c>
      <c r="T239" s="28"/>
      <c r="U239" s="37">
        <f>SUM(Table139159[[#This Row],[OPERATOR COST]:[UTILITIES]])*Table139159[[#This Row],[FREQUENCY   (TIMES PER YEAR)]]</f>
        <v>0</v>
      </c>
    </row>
    <row r="240" spans="1:21" hidden="1" x14ac:dyDescent="0.25">
      <c r="A240" s="98" t="str">
        <f>IF(Table139159[[#This Row],[QUANTITY]]&gt;0, "YES", "NO")</f>
        <v>NO</v>
      </c>
      <c r="B240" s="27" t="s">
        <v>740</v>
      </c>
      <c r="C240" s="12" t="s">
        <v>30</v>
      </c>
      <c r="D240" s="12" t="s">
        <v>344</v>
      </c>
      <c r="E240" s="12" t="s">
        <v>53</v>
      </c>
      <c r="F240" s="12" t="s">
        <v>53</v>
      </c>
      <c r="G240" s="103" t="s">
        <v>15</v>
      </c>
      <c r="H240" s="103" t="s">
        <v>12</v>
      </c>
      <c r="I240" s="103">
        <v>0</v>
      </c>
      <c r="J240" s="103">
        <f>IFERROR(VLOOKUP(Table139159[[#This Row],[WORK ORDER]], '1. BUILDING ASSET INVENTORY'!A:K, 10, FALSE),0)</f>
        <v>0</v>
      </c>
      <c r="K240" s="102" t="str">
        <f>IFERROR(VLOOKUP(Table139159[[#This Row],[WORK ORDER]], '1. BUILDING ASSET INVENTORY'!A:L, 11, FALSE),"")</f>
        <v/>
      </c>
      <c r="L240" s="109"/>
      <c r="M240" s="197"/>
      <c r="N240" s="109">
        <f>Table139159[[#This Row],[OPERATOR HOURS (BASE)]]+Table139159[[#This Row],[QUANTITY]]*Table139159[[#This Row],[OPERATOR HOURS (PER UNIT)]]</f>
        <v>0</v>
      </c>
      <c r="O240" s="36">
        <f>'TABLE OF CONTENTS'!$K$34</f>
        <v>37.5</v>
      </c>
      <c r="P240" s="36">
        <f>Table139159[[#This Row],[TOTAL OPERATOR HOURS]]*Table139159[[#This Row],[OPERATOR RATE]]</f>
        <v>0</v>
      </c>
      <c r="Q240" s="14">
        <v>0</v>
      </c>
      <c r="R240" s="13">
        <v>0</v>
      </c>
      <c r="S240" s="13">
        <v>0</v>
      </c>
      <c r="T240" s="28"/>
      <c r="U240" s="37">
        <f>SUM(Table139159[[#This Row],[OPERATOR COST]:[UTILITIES]])*Table139159[[#This Row],[FREQUENCY   (TIMES PER YEAR)]]</f>
        <v>0</v>
      </c>
    </row>
    <row r="241" spans="1:21" x14ac:dyDescent="0.25">
      <c r="A241" s="98" t="str">
        <f>IF(Table139159[[#This Row],[QUANTITY]]&gt;0, "YES", "NO")</f>
        <v>NO</v>
      </c>
      <c r="B241" s="27" t="s">
        <v>741</v>
      </c>
      <c r="C241" s="12" t="s">
        <v>30</v>
      </c>
      <c r="D241" s="12" t="s">
        <v>344</v>
      </c>
      <c r="E241" s="12" t="s">
        <v>1</v>
      </c>
      <c r="F241" s="12" t="s">
        <v>364</v>
      </c>
      <c r="G241" s="103" t="s">
        <v>204</v>
      </c>
      <c r="H241" s="103" t="s">
        <v>8</v>
      </c>
      <c r="I241" s="103">
        <v>1</v>
      </c>
      <c r="J241" s="103">
        <f>IFERROR(VLOOKUP(Table139159[[#This Row],[WORK ORDER]], '1. BUILDING ASSET INVENTORY'!A:K, 10, FALSE),0)</f>
        <v>0</v>
      </c>
      <c r="K241" s="102" t="str">
        <f>IFERROR(VLOOKUP(Table139159[[#This Row],[WORK ORDER]], '1. BUILDING ASSET INVENTORY'!A:L, 11, FALSE),"")</f>
        <v>Each</v>
      </c>
      <c r="L241" s="109">
        <v>1</v>
      </c>
      <c r="M241" s="197">
        <v>4</v>
      </c>
      <c r="N241" s="109">
        <f>Table139159[[#This Row],[OPERATOR HOURS (BASE)]]+Table139159[[#This Row],[QUANTITY]]*Table139159[[#This Row],[OPERATOR HOURS (PER UNIT)]]</f>
        <v>1</v>
      </c>
      <c r="O241" s="36">
        <f>'TABLE OF CONTENTS'!$K$34</f>
        <v>37.5</v>
      </c>
      <c r="P241" s="36">
        <f>Table139159[[#This Row],[TOTAL OPERATOR HOURS]]*Table139159[[#This Row],[OPERATOR RATE]]</f>
        <v>37.5</v>
      </c>
      <c r="Q241" s="14">
        <f>PRODUCT(Table139159[[#This Row],[QUANTITY]],500)</f>
        <v>0</v>
      </c>
      <c r="R241" s="13">
        <v>0</v>
      </c>
      <c r="S241" s="13">
        <v>180</v>
      </c>
      <c r="T241" s="28"/>
      <c r="U241" s="37">
        <f>SUM(Table139159[[#This Row],[OPERATOR COST]:[UTILITIES]])*Table139159[[#This Row],[FREQUENCY   (TIMES PER YEAR)]]</f>
        <v>217.5</v>
      </c>
    </row>
    <row r="242" spans="1:21" x14ac:dyDescent="0.25">
      <c r="A242" s="98" t="str">
        <f>IF(Table139159[[#This Row],[QUANTITY]]&gt;0, "YES", "NO")</f>
        <v>NO</v>
      </c>
      <c r="B242" s="27" t="s">
        <v>742</v>
      </c>
      <c r="C242" s="12" t="s">
        <v>30</v>
      </c>
      <c r="D242" s="12" t="s">
        <v>344</v>
      </c>
      <c r="E242" s="12" t="s">
        <v>1</v>
      </c>
      <c r="F242" s="12" t="s">
        <v>542</v>
      </c>
      <c r="G242" s="103" t="s">
        <v>204</v>
      </c>
      <c r="H242" s="103" t="s">
        <v>8</v>
      </c>
      <c r="I242" s="103">
        <v>1</v>
      </c>
      <c r="J242" s="103">
        <f>IFERROR(VLOOKUP(Table139159[[#This Row],[WORK ORDER]], '1. BUILDING ASSET INVENTORY'!A:K, 10, FALSE),0)</f>
        <v>0</v>
      </c>
      <c r="K242" s="102" t="str">
        <f>IFERROR(VLOOKUP(Table139159[[#This Row],[WORK ORDER]], '1. BUILDING ASSET INVENTORY'!A:L, 11, FALSE),"")</f>
        <v>Each</v>
      </c>
      <c r="L242" s="109">
        <v>1</v>
      </c>
      <c r="M242" s="197">
        <v>2</v>
      </c>
      <c r="N242" s="109">
        <f>Table139159[[#This Row],[OPERATOR HOURS (BASE)]]+Table139159[[#This Row],[QUANTITY]]*Table139159[[#This Row],[OPERATOR HOURS (PER UNIT)]]</f>
        <v>1</v>
      </c>
      <c r="O242" s="36">
        <f>'TABLE OF CONTENTS'!$K$34</f>
        <v>37.5</v>
      </c>
      <c r="P242" s="36">
        <f>Table139159[[#This Row],[TOTAL OPERATOR HOURS]]*Table139159[[#This Row],[OPERATOR RATE]]</f>
        <v>37.5</v>
      </c>
      <c r="Q242" s="14">
        <f>PRODUCT(Table139159[[#This Row],[QUANTITY]],200)</f>
        <v>0</v>
      </c>
      <c r="R242" s="13">
        <v>0</v>
      </c>
      <c r="S242" s="13">
        <v>0</v>
      </c>
      <c r="T242" s="28"/>
      <c r="U242" s="37">
        <f>SUM(Table139159[[#This Row],[OPERATOR COST]:[UTILITIES]])*Table139159[[#This Row],[FREQUENCY   (TIMES PER YEAR)]]</f>
        <v>37.5</v>
      </c>
    </row>
    <row r="243" spans="1:21" ht="30" x14ac:dyDescent="0.25">
      <c r="A243" s="98" t="str">
        <f>IF(Table139159[[#This Row],[QUANTITY]]&gt;0, "YES", "NO")</f>
        <v>NO</v>
      </c>
      <c r="B243" s="27" t="s">
        <v>743</v>
      </c>
      <c r="C243" s="12" t="s">
        <v>30</v>
      </c>
      <c r="D243" s="12" t="s">
        <v>344</v>
      </c>
      <c r="E243" s="12" t="s">
        <v>1</v>
      </c>
      <c r="F243" s="12" t="s">
        <v>312</v>
      </c>
      <c r="G243" s="103" t="s">
        <v>204</v>
      </c>
      <c r="H243" s="103" t="s">
        <v>8</v>
      </c>
      <c r="I243" s="103">
        <v>1</v>
      </c>
      <c r="J243" s="103">
        <f>IFERROR(VLOOKUP(Table139159[[#This Row],[WORK ORDER]], '1. BUILDING ASSET INVENTORY'!A:K, 10, FALSE),0)</f>
        <v>0</v>
      </c>
      <c r="K243" s="102" t="str">
        <f>IFERROR(VLOOKUP(Table139159[[#This Row],[WORK ORDER]], '1. BUILDING ASSET INVENTORY'!A:L, 11, FALSE),"")</f>
        <v>Each</v>
      </c>
      <c r="L243" s="109">
        <v>1</v>
      </c>
      <c r="M243" s="197">
        <v>2</v>
      </c>
      <c r="N243" s="109">
        <f>Table139159[[#This Row],[OPERATOR HOURS (BASE)]]+Table139159[[#This Row],[QUANTITY]]*Table139159[[#This Row],[OPERATOR HOURS (PER UNIT)]]</f>
        <v>1</v>
      </c>
      <c r="O243" s="36">
        <f>'TABLE OF CONTENTS'!$K$34</f>
        <v>37.5</v>
      </c>
      <c r="P243" s="36">
        <f>Table139159[[#This Row],[TOTAL OPERATOR HOURS]]*Table139159[[#This Row],[OPERATOR RATE]]</f>
        <v>37.5</v>
      </c>
      <c r="Q243" s="15">
        <v>0</v>
      </c>
      <c r="R243" s="13">
        <v>0</v>
      </c>
      <c r="S243" s="13">
        <v>0</v>
      </c>
      <c r="T243" s="28"/>
      <c r="U243" s="37">
        <f>SUM(Table139159[[#This Row],[OPERATOR COST]:[UTILITIES]])*Table139159[[#This Row],[FREQUENCY   (TIMES PER YEAR)]]</f>
        <v>37.5</v>
      </c>
    </row>
    <row r="244" spans="1:21" x14ac:dyDescent="0.25">
      <c r="A244" s="98" t="str">
        <f>IF(Table139159[[#This Row],[QUANTITY]]&gt;0, "YES", "NO")</f>
        <v>NO</v>
      </c>
      <c r="B244" s="27" t="s">
        <v>744</v>
      </c>
      <c r="C244" s="12" t="s">
        <v>30</v>
      </c>
      <c r="D244" s="12" t="s">
        <v>344</v>
      </c>
      <c r="E244" s="12" t="s">
        <v>313</v>
      </c>
      <c r="F244" s="12" t="s">
        <v>314</v>
      </c>
      <c r="G244" s="103" t="s">
        <v>204</v>
      </c>
      <c r="H244" s="103" t="s">
        <v>8</v>
      </c>
      <c r="I244" s="103">
        <v>1</v>
      </c>
      <c r="J244" s="103">
        <f>IFERROR(VLOOKUP(Table139159[[#This Row],[WORK ORDER]], '1. BUILDING ASSET INVENTORY'!A:K, 10, FALSE),0)</f>
        <v>0</v>
      </c>
      <c r="K244" s="102" t="str">
        <f>IFERROR(VLOOKUP(Table139159[[#This Row],[WORK ORDER]], '1. BUILDING ASSET INVENTORY'!A:L, 11, FALSE),"")</f>
        <v>Each</v>
      </c>
      <c r="L244" s="109">
        <v>1</v>
      </c>
      <c r="M244" s="197">
        <v>6</v>
      </c>
      <c r="N244" s="109">
        <f>Table139159[[#This Row],[OPERATOR HOURS (BASE)]]+Table139159[[#This Row],[QUANTITY]]*Table139159[[#This Row],[OPERATOR HOURS (PER UNIT)]]</f>
        <v>1</v>
      </c>
      <c r="O244" s="36">
        <f>'TABLE OF CONTENTS'!$K$34</f>
        <v>37.5</v>
      </c>
      <c r="P244" s="36">
        <f>Table139159[[#This Row],[TOTAL OPERATOR HOURS]]*Table139159[[#This Row],[OPERATOR RATE]]</f>
        <v>37.5</v>
      </c>
      <c r="Q244" s="14">
        <f>PRODUCT(Table139159[[#This Row],[QUANTITY]],1000)</f>
        <v>0</v>
      </c>
      <c r="R244" s="13">
        <v>0</v>
      </c>
      <c r="S244" s="13">
        <v>0</v>
      </c>
      <c r="T244" s="28"/>
      <c r="U244" s="37">
        <f>SUM(Table139159[[#This Row],[OPERATOR COST]:[UTILITIES]])*Table139159[[#This Row],[FREQUENCY   (TIMES PER YEAR)]]</f>
        <v>37.5</v>
      </c>
    </row>
    <row r="245" spans="1:21" x14ac:dyDescent="0.25">
      <c r="A245" s="98" t="str">
        <f>IF(Table139159[[#This Row],[QUANTITY]]&gt;0, "YES", "NO")</f>
        <v>NO</v>
      </c>
      <c r="B245" s="27" t="s">
        <v>745</v>
      </c>
      <c r="C245" s="12" t="s">
        <v>30</v>
      </c>
      <c r="D245" s="12" t="s">
        <v>344</v>
      </c>
      <c r="E245" s="12" t="s">
        <v>103</v>
      </c>
      <c r="F245" s="12" t="s">
        <v>311</v>
      </c>
      <c r="G245" s="103" t="s">
        <v>204</v>
      </c>
      <c r="H245" s="103" t="s">
        <v>8</v>
      </c>
      <c r="I245" s="103">
        <v>1</v>
      </c>
      <c r="J245" s="103">
        <f>IFERROR(VLOOKUP(Table139159[[#This Row],[WORK ORDER]], '1. BUILDING ASSET INVENTORY'!A:K, 10, FALSE),0)</f>
        <v>0</v>
      </c>
      <c r="K245" s="102" t="str">
        <f>IFERROR(VLOOKUP(Table139159[[#This Row],[WORK ORDER]], '1. BUILDING ASSET INVENTORY'!A:L, 11, FALSE),"")</f>
        <v>Each</v>
      </c>
      <c r="L245" s="109">
        <v>1</v>
      </c>
      <c r="M245" s="197">
        <v>8</v>
      </c>
      <c r="N245" s="109">
        <f>Table139159[[#This Row],[OPERATOR HOURS (BASE)]]+Table139159[[#This Row],[QUANTITY]]*Table139159[[#This Row],[OPERATOR HOURS (PER UNIT)]]</f>
        <v>1</v>
      </c>
      <c r="O245" s="36">
        <f>'TABLE OF CONTENTS'!$K$34</f>
        <v>37.5</v>
      </c>
      <c r="P245" s="36">
        <f>Table139159[[#This Row],[TOTAL OPERATOR HOURS]]*Table139159[[#This Row],[OPERATOR RATE]]</f>
        <v>37.5</v>
      </c>
      <c r="Q245" s="14">
        <f>PRODUCT(Table139159[[#This Row],[QUANTITY]],5000)</f>
        <v>0</v>
      </c>
      <c r="R245" s="13">
        <v>0</v>
      </c>
      <c r="S245" s="13">
        <v>180</v>
      </c>
      <c r="T245" s="28"/>
      <c r="U245" s="37">
        <f>SUM(Table139159[[#This Row],[OPERATOR COST]:[UTILITIES]])*Table139159[[#This Row],[FREQUENCY   (TIMES PER YEAR)]]</f>
        <v>217.5</v>
      </c>
    </row>
    <row r="246" spans="1:21" x14ac:dyDescent="0.25">
      <c r="A246" s="98" t="str">
        <f>IF(Table139159[[#This Row],[QUANTITY]]&gt;0, "YES", "NO")</f>
        <v>NO</v>
      </c>
      <c r="B246" s="27" t="s">
        <v>746</v>
      </c>
      <c r="C246" s="12" t="s">
        <v>30</v>
      </c>
      <c r="D246" s="12" t="s">
        <v>344</v>
      </c>
      <c r="E246" s="12" t="s">
        <v>104</v>
      </c>
      <c r="F246" s="12" t="s">
        <v>316</v>
      </c>
      <c r="G246" s="103" t="s">
        <v>204</v>
      </c>
      <c r="H246" s="103" t="s">
        <v>8</v>
      </c>
      <c r="I246" s="103">
        <v>1</v>
      </c>
      <c r="J246" s="103">
        <f>IFERROR(VLOOKUP(Table139159[[#This Row],[WORK ORDER]], '1. BUILDING ASSET INVENTORY'!A:K, 10, FALSE),0)</f>
        <v>0</v>
      </c>
      <c r="K246" s="102" t="str">
        <f>IFERROR(VLOOKUP(Table139159[[#This Row],[WORK ORDER]], '1. BUILDING ASSET INVENTORY'!A:L, 11, FALSE),"")</f>
        <v>Each</v>
      </c>
      <c r="L246" s="109">
        <v>1</v>
      </c>
      <c r="M246" s="197">
        <v>2</v>
      </c>
      <c r="N246" s="109">
        <f>Table139159[[#This Row],[OPERATOR HOURS (BASE)]]+Table139159[[#This Row],[QUANTITY]]*Table139159[[#This Row],[OPERATOR HOURS (PER UNIT)]]</f>
        <v>1</v>
      </c>
      <c r="O246" s="36">
        <f>'TABLE OF CONTENTS'!$K$34</f>
        <v>37.5</v>
      </c>
      <c r="P246" s="36">
        <f>Table139159[[#This Row],[TOTAL OPERATOR HOURS]]*Table139159[[#This Row],[OPERATOR RATE]]</f>
        <v>37.5</v>
      </c>
      <c r="Q246" s="14">
        <f>PRODUCT(Table139159[[#This Row],[QUANTITY]],500)</f>
        <v>0</v>
      </c>
      <c r="R246" s="13">
        <v>0</v>
      </c>
      <c r="S246" s="13">
        <v>0</v>
      </c>
      <c r="T246" s="28"/>
      <c r="U246" s="37">
        <f>SUM(Table139159[[#This Row],[OPERATOR COST]:[UTILITIES]])*Table139159[[#This Row],[FREQUENCY   (TIMES PER YEAR)]]</f>
        <v>37.5</v>
      </c>
    </row>
    <row r="247" spans="1:21" x14ac:dyDescent="0.25">
      <c r="A247" s="98" t="str">
        <f>IF(Table139159[[#This Row],[QUANTITY]]&gt;0, "YES", "NO")</f>
        <v>NO</v>
      </c>
      <c r="B247" s="27" t="s">
        <v>395</v>
      </c>
      <c r="C247" s="12" t="s">
        <v>30</v>
      </c>
      <c r="D247" s="12" t="s">
        <v>344</v>
      </c>
      <c r="E247" s="12" t="s">
        <v>1</v>
      </c>
      <c r="F247" s="12" t="s">
        <v>543</v>
      </c>
      <c r="G247" s="103" t="s">
        <v>204</v>
      </c>
      <c r="H247" s="103" t="s">
        <v>132</v>
      </c>
      <c r="I247" s="103">
        <f>1/10</f>
        <v>0.1</v>
      </c>
      <c r="J247" s="103">
        <f>IFERROR(VLOOKUP(Table139159[[#This Row],[WORK ORDER]], '1. BUILDING ASSET INVENTORY'!A:K, 10, FALSE),0)</f>
        <v>0</v>
      </c>
      <c r="K247" s="102" t="str">
        <f>IFERROR(VLOOKUP(Table139159[[#This Row],[WORK ORDER]], '1. BUILDING ASSET INVENTORY'!A:L, 11, FALSE),"")</f>
        <v>Each</v>
      </c>
      <c r="L247" s="109">
        <v>1</v>
      </c>
      <c r="M247" s="197">
        <v>4</v>
      </c>
      <c r="N247" s="109">
        <f>Table139159[[#This Row],[OPERATOR HOURS (BASE)]]+Table139159[[#This Row],[QUANTITY]]*Table139159[[#This Row],[OPERATOR HOURS (PER UNIT)]]</f>
        <v>1</v>
      </c>
      <c r="O247" s="36">
        <f>'TABLE OF CONTENTS'!$K$34</f>
        <v>37.5</v>
      </c>
      <c r="P247" s="36">
        <f>Table139159[[#This Row],[TOTAL OPERATOR HOURS]]*Table139159[[#This Row],[OPERATOR RATE]]</f>
        <v>37.5</v>
      </c>
      <c r="Q247" s="14">
        <f>PRODUCT(Table139159[[#This Row],[QUANTITY]],800)</f>
        <v>0</v>
      </c>
      <c r="R247" s="13">
        <v>400</v>
      </c>
      <c r="S247" s="13">
        <v>0</v>
      </c>
      <c r="T247" s="28"/>
      <c r="U247" s="37">
        <f>SUM(Table139159[[#This Row],[OPERATOR COST]:[UTILITIES]])*Table139159[[#This Row],[FREQUENCY   (TIMES PER YEAR)]]</f>
        <v>43.75</v>
      </c>
    </row>
    <row r="248" spans="1:21" hidden="1" x14ac:dyDescent="0.25">
      <c r="A248" s="98" t="str">
        <f>IF(Table139159[[#This Row],[QUANTITY]]&gt;0, "YES", "NO")</f>
        <v>NO</v>
      </c>
      <c r="B248" s="27" t="s">
        <v>396</v>
      </c>
      <c r="C248" s="12" t="s">
        <v>30</v>
      </c>
      <c r="D248" s="12" t="s">
        <v>344</v>
      </c>
      <c r="E248" s="12" t="s">
        <v>53</v>
      </c>
      <c r="F248" s="12" t="s">
        <v>53</v>
      </c>
      <c r="G248" s="103" t="s">
        <v>15</v>
      </c>
      <c r="H248" s="103" t="s">
        <v>12</v>
      </c>
      <c r="I248" s="103">
        <v>0</v>
      </c>
      <c r="J248" s="103">
        <f>IFERROR(VLOOKUP(Table139159[[#This Row],[WORK ORDER]], '1. BUILDING ASSET INVENTORY'!A:K, 10, FALSE),0)</f>
        <v>0</v>
      </c>
      <c r="K248" s="102" t="str">
        <f>IFERROR(VLOOKUP(Table139159[[#This Row],[WORK ORDER]], '1. BUILDING ASSET INVENTORY'!A:L, 11, FALSE),"")</f>
        <v/>
      </c>
      <c r="L248" s="109"/>
      <c r="M248" s="197"/>
      <c r="N248" s="109">
        <f>Table139159[[#This Row],[OPERATOR HOURS (BASE)]]+Table139159[[#This Row],[QUANTITY]]*Table139159[[#This Row],[OPERATOR HOURS (PER UNIT)]]</f>
        <v>0</v>
      </c>
      <c r="O248" s="36">
        <f>'TABLE OF CONTENTS'!$K$34</f>
        <v>37.5</v>
      </c>
      <c r="P248" s="36">
        <f>Table139159[[#This Row],[TOTAL OPERATOR HOURS]]*Table139159[[#This Row],[OPERATOR RATE]]</f>
        <v>0</v>
      </c>
      <c r="Q248" s="14">
        <v>0</v>
      </c>
      <c r="R248" s="13">
        <v>0</v>
      </c>
      <c r="S248" s="13">
        <v>0</v>
      </c>
      <c r="T248" s="28"/>
      <c r="U248" s="37">
        <f>SUM(Table139159[[#This Row],[OPERATOR COST]:[UTILITIES]])*Table139159[[#This Row],[FREQUENCY   (TIMES PER YEAR)]]</f>
        <v>0</v>
      </c>
    </row>
    <row r="249" spans="1:21" ht="30" hidden="1" x14ac:dyDescent="0.25">
      <c r="A249" s="98" t="str">
        <f>IF(Table139159[[#This Row],[QUANTITY]]&gt;0, "YES", "NO")</f>
        <v>NO</v>
      </c>
      <c r="B249" s="27" t="s">
        <v>860</v>
      </c>
      <c r="C249" s="12" t="s">
        <v>30</v>
      </c>
      <c r="D249" s="12" t="s">
        <v>74</v>
      </c>
      <c r="E249" s="12" t="s">
        <v>19</v>
      </c>
      <c r="F249" s="12" t="s">
        <v>315</v>
      </c>
      <c r="G249" s="103" t="s">
        <v>217</v>
      </c>
      <c r="H249" s="103" t="s">
        <v>35</v>
      </c>
      <c r="I249" s="103">
        <f>1/5</f>
        <v>0.2</v>
      </c>
      <c r="J249" s="103">
        <f>IFERROR(VLOOKUP(Table139159[[#This Row],[WORK ORDER]], '1. BUILDING ASSET INVENTORY'!A:K, 10, FALSE),0)</f>
        <v>0</v>
      </c>
      <c r="K249" s="102" t="str">
        <f>IFERROR(VLOOKUP(Table139159[[#This Row],[WORK ORDER]], '1. BUILDING ASSET INVENTORY'!A:L, 11, FALSE),"")</f>
        <v>Each</v>
      </c>
      <c r="L249" s="109">
        <v>1</v>
      </c>
      <c r="M249" s="197">
        <v>4</v>
      </c>
      <c r="N249" s="109">
        <f>Table139159[[#This Row],[OPERATOR HOURS (BASE)]]+Table139159[[#This Row],[QUANTITY]]*Table139159[[#This Row],[OPERATOR HOURS (PER UNIT)]]</f>
        <v>1</v>
      </c>
      <c r="O249" s="36">
        <f>'TABLE OF CONTENTS'!$K$34</f>
        <v>37.5</v>
      </c>
      <c r="P249" s="36">
        <f>Table139159[[#This Row],[TOTAL OPERATOR HOURS]]*Table139159[[#This Row],[OPERATOR RATE]]</f>
        <v>37.5</v>
      </c>
      <c r="Q249" s="15">
        <v>2500</v>
      </c>
      <c r="R249" s="13">
        <v>0</v>
      </c>
      <c r="S249" s="13">
        <v>0</v>
      </c>
      <c r="T249" s="28"/>
      <c r="U249" s="37">
        <f>SUM(Table139159[[#This Row],[OPERATOR COST]:[UTILITIES]])*Table139159[[#This Row],[FREQUENCY   (TIMES PER YEAR)]]</f>
        <v>507.5</v>
      </c>
    </row>
    <row r="250" spans="1:21" hidden="1" x14ac:dyDescent="0.25">
      <c r="A250" s="98" t="str">
        <f>IF(Table139159[[#This Row],[QUANTITY]]&gt;0, "YES", "NO")</f>
        <v>NO</v>
      </c>
      <c r="B250" s="27" t="s">
        <v>944</v>
      </c>
      <c r="C250" s="12" t="s">
        <v>30</v>
      </c>
      <c r="D250" s="12" t="s">
        <v>74</v>
      </c>
      <c r="E250" s="12" t="s">
        <v>53</v>
      </c>
      <c r="F250" s="12" t="s">
        <v>53</v>
      </c>
      <c r="G250" s="103" t="s">
        <v>15</v>
      </c>
      <c r="H250" s="103" t="s">
        <v>12</v>
      </c>
      <c r="I250" s="103">
        <v>0</v>
      </c>
      <c r="J250" s="103">
        <f>IFERROR(VLOOKUP(Table139159[[#This Row],[WORK ORDER]], '1. BUILDING ASSET INVENTORY'!A:K, 10, FALSE),0)</f>
        <v>0</v>
      </c>
      <c r="K250" s="102" t="str">
        <f>IFERROR(VLOOKUP(Table139159[[#This Row],[WORK ORDER]], '1. BUILDING ASSET INVENTORY'!A:L, 11, FALSE),"")</f>
        <v/>
      </c>
      <c r="L250" s="109"/>
      <c r="M250" s="197"/>
      <c r="N250" s="109">
        <f>Table139159[[#This Row],[OPERATOR HOURS (BASE)]]+Table139159[[#This Row],[QUANTITY]]*Table139159[[#This Row],[OPERATOR HOURS (PER UNIT)]]</f>
        <v>0</v>
      </c>
      <c r="O250" s="36">
        <f>'TABLE OF CONTENTS'!$K$34</f>
        <v>37.5</v>
      </c>
      <c r="P250" s="36">
        <f>Table139159[[#This Row],[TOTAL OPERATOR HOURS]]*Table139159[[#This Row],[OPERATOR RATE]]</f>
        <v>0</v>
      </c>
      <c r="Q250" s="15">
        <v>0</v>
      </c>
      <c r="R250" s="13">
        <v>0</v>
      </c>
      <c r="S250" s="13">
        <v>0</v>
      </c>
      <c r="T250" s="28"/>
      <c r="U250" s="37">
        <f>SUM(Table139159[[#This Row],[OPERATOR COST]:[UTILITIES]])*Table139159[[#This Row],[FREQUENCY   (TIMES PER YEAR)]]</f>
        <v>0</v>
      </c>
    </row>
    <row r="251" spans="1:21" hidden="1" x14ac:dyDescent="0.25">
      <c r="A251" s="98" t="str">
        <f>IF(Table139159[[#This Row],[QUANTITY]]&gt;0, "YES", "NO")</f>
        <v>NO</v>
      </c>
      <c r="B251" s="27" t="s">
        <v>943</v>
      </c>
      <c r="C251" s="12" t="s">
        <v>30</v>
      </c>
      <c r="D251" s="12" t="s">
        <v>74</v>
      </c>
      <c r="E251" s="12" t="s">
        <v>53</v>
      </c>
      <c r="F251" s="12" t="s">
        <v>53</v>
      </c>
      <c r="G251" s="103" t="s">
        <v>15</v>
      </c>
      <c r="H251" s="103" t="s">
        <v>12</v>
      </c>
      <c r="I251" s="103">
        <v>0</v>
      </c>
      <c r="J251" s="103">
        <f>IFERROR(VLOOKUP(Table139159[[#This Row],[WORK ORDER]], '1. BUILDING ASSET INVENTORY'!A:K, 10, FALSE),0)</f>
        <v>0</v>
      </c>
      <c r="K251" s="102" t="str">
        <f>IFERROR(VLOOKUP(Table139159[[#This Row],[WORK ORDER]], '1. BUILDING ASSET INVENTORY'!A:L, 11, FALSE),"")</f>
        <v/>
      </c>
      <c r="L251" s="109"/>
      <c r="M251" s="197"/>
      <c r="N251" s="109">
        <f>Table139159[[#This Row],[OPERATOR HOURS (BASE)]]+Table139159[[#This Row],[QUANTITY]]*Table139159[[#This Row],[OPERATOR HOURS (PER UNIT)]]</f>
        <v>0</v>
      </c>
      <c r="O251" s="36">
        <f>'TABLE OF CONTENTS'!$K$34</f>
        <v>37.5</v>
      </c>
      <c r="P251" s="36">
        <f>Table139159[[#This Row],[TOTAL OPERATOR HOURS]]*Table139159[[#This Row],[OPERATOR RATE]]</f>
        <v>0</v>
      </c>
      <c r="Q251" s="15">
        <v>0</v>
      </c>
      <c r="R251" s="13">
        <v>0</v>
      </c>
      <c r="S251" s="13">
        <v>0</v>
      </c>
      <c r="T251" s="28"/>
      <c r="U251" s="37">
        <f>SUM(Table139159[[#This Row],[OPERATOR COST]:[UTILITIES]])*Table139159[[#This Row],[FREQUENCY   (TIMES PER YEAR)]]</f>
        <v>0</v>
      </c>
    </row>
    <row r="252" spans="1:21" hidden="1" x14ac:dyDescent="0.25">
      <c r="A252" s="98" t="str">
        <f>IF(Table139159[[#This Row],[QUANTITY]]&gt;0, "YES", "NO")</f>
        <v>NO</v>
      </c>
      <c r="B252" s="27" t="s">
        <v>942</v>
      </c>
      <c r="C252" s="12" t="s">
        <v>30</v>
      </c>
      <c r="D252" s="12" t="s">
        <v>74</v>
      </c>
      <c r="E252" s="12" t="s">
        <v>53</v>
      </c>
      <c r="F252" s="12" t="s">
        <v>53</v>
      </c>
      <c r="G252" s="103" t="s">
        <v>15</v>
      </c>
      <c r="H252" s="103" t="s">
        <v>12</v>
      </c>
      <c r="I252" s="103">
        <v>0</v>
      </c>
      <c r="J252" s="103">
        <f>IFERROR(VLOOKUP(Table139159[[#This Row],[WORK ORDER]], '1. BUILDING ASSET INVENTORY'!A:K, 10, FALSE),0)</f>
        <v>0</v>
      </c>
      <c r="K252" s="102" t="str">
        <f>IFERROR(VLOOKUP(Table139159[[#This Row],[WORK ORDER]], '1. BUILDING ASSET INVENTORY'!A:L, 11, FALSE),"")</f>
        <v/>
      </c>
      <c r="L252" s="109"/>
      <c r="M252" s="197"/>
      <c r="N252" s="109">
        <f>Table139159[[#This Row],[OPERATOR HOURS (BASE)]]+Table139159[[#This Row],[QUANTITY]]*Table139159[[#This Row],[OPERATOR HOURS (PER UNIT)]]</f>
        <v>0</v>
      </c>
      <c r="O252" s="36">
        <f>'TABLE OF CONTENTS'!$K$34</f>
        <v>37.5</v>
      </c>
      <c r="P252" s="36">
        <f>Table139159[[#This Row],[TOTAL OPERATOR HOURS]]*Table139159[[#This Row],[OPERATOR RATE]]</f>
        <v>0</v>
      </c>
      <c r="Q252" s="14">
        <v>0</v>
      </c>
      <c r="R252" s="13">
        <v>0</v>
      </c>
      <c r="S252" s="13">
        <v>0</v>
      </c>
      <c r="T252" s="28"/>
      <c r="U252" s="37">
        <f>SUM(Table139159[[#This Row],[OPERATOR COST]:[UTILITIES]])*Table139159[[#This Row],[FREQUENCY   (TIMES PER YEAR)]]</f>
        <v>0</v>
      </c>
    </row>
    <row r="253" spans="1:21" ht="30" x14ac:dyDescent="0.25">
      <c r="A253" s="98" t="str">
        <f>IF(Table139159[[#This Row],[QUANTITY]]&gt;0, "YES", "NO")</f>
        <v>NO</v>
      </c>
      <c r="B253" s="27" t="s">
        <v>849</v>
      </c>
      <c r="C253" s="12" t="s">
        <v>31</v>
      </c>
      <c r="D253" s="12" t="s">
        <v>75</v>
      </c>
      <c r="E253" s="12" t="s">
        <v>318</v>
      </c>
      <c r="F253" s="12" t="s">
        <v>317</v>
      </c>
      <c r="G253" s="103" t="s">
        <v>204</v>
      </c>
      <c r="H253" s="103" t="s">
        <v>8</v>
      </c>
      <c r="I253" s="103">
        <v>1</v>
      </c>
      <c r="J253" s="103">
        <f>IFERROR(VLOOKUP(Table139159[[#This Row],[WORK ORDER]], '1. BUILDING ASSET INVENTORY'!A:K, 10, FALSE),0)</f>
        <v>0</v>
      </c>
      <c r="K253" s="102" t="str">
        <f>IFERROR(VLOOKUP(Table139159[[#This Row],[WORK ORDER]], '1. BUILDING ASSET INVENTORY'!A:L, 11, FALSE),"")</f>
        <v>Each</v>
      </c>
      <c r="L253" s="109">
        <v>1</v>
      </c>
      <c r="M253" s="197">
        <v>4</v>
      </c>
      <c r="N253" s="109">
        <f>Table139159[[#This Row],[OPERATOR HOURS (BASE)]]+Table139159[[#This Row],[QUANTITY]]*Table139159[[#This Row],[OPERATOR HOURS (PER UNIT)]]</f>
        <v>1</v>
      </c>
      <c r="O253" s="36">
        <f>'TABLE OF CONTENTS'!$K$34</f>
        <v>37.5</v>
      </c>
      <c r="P253" s="36">
        <f>Table139159[[#This Row],[TOTAL OPERATOR HOURS]]*Table139159[[#This Row],[OPERATOR RATE]]</f>
        <v>37.5</v>
      </c>
      <c r="Q253" s="14">
        <f>PRODUCT(Table139159[[#This Row],[QUANTITY]],50)</f>
        <v>0</v>
      </c>
      <c r="R253" s="13">
        <v>0</v>
      </c>
      <c r="S253" s="13">
        <v>0</v>
      </c>
      <c r="T253" s="28"/>
      <c r="U253" s="37">
        <f>SUM(Table139159[[#This Row],[OPERATOR COST]:[UTILITIES]])*Table139159[[#This Row],[FREQUENCY   (TIMES PER YEAR)]]</f>
        <v>37.5</v>
      </c>
    </row>
    <row r="254" spans="1:21" hidden="1" x14ac:dyDescent="0.25">
      <c r="A254" s="98" t="str">
        <f>IF(Table139159[[#This Row],[QUANTITY]]&gt;0, "YES", "NO")</f>
        <v>NO</v>
      </c>
      <c r="B254" s="27" t="s">
        <v>941</v>
      </c>
      <c r="C254" s="12" t="s">
        <v>31</v>
      </c>
      <c r="D254" s="12" t="s">
        <v>75</v>
      </c>
      <c r="E254" s="12" t="s">
        <v>318</v>
      </c>
      <c r="F254" s="12" t="s">
        <v>53</v>
      </c>
      <c r="G254" s="103" t="s">
        <v>15</v>
      </c>
      <c r="H254" s="103" t="s">
        <v>12</v>
      </c>
      <c r="I254" s="103">
        <v>0</v>
      </c>
      <c r="J254" s="103">
        <f>IFERROR(VLOOKUP(Table139159[[#This Row],[WORK ORDER]], '1. BUILDING ASSET INVENTORY'!A:K, 10, FALSE),0)</f>
        <v>0</v>
      </c>
      <c r="K254" s="102" t="str">
        <f>IFERROR(VLOOKUP(Table139159[[#This Row],[WORK ORDER]], '1. BUILDING ASSET INVENTORY'!A:L, 11, FALSE),"")</f>
        <v/>
      </c>
      <c r="L254" s="109"/>
      <c r="M254" s="197"/>
      <c r="N254" s="109">
        <f>Table139159[[#This Row],[OPERATOR HOURS (BASE)]]+Table139159[[#This Row],[QUANTITY]]*Table139159[[#This Row],[OPERATOR HOURS (PER UNIT)]]</f>
        <v>0</v>
      </c>
      <c r="O254" s="36">
        <f>'TABLE OF CONTENTS'!$K$34</f>
        <v>37.5</v>
      </c>
      <c r="P254" s="36">
        <f>Table139159[[#This Row],[TOTAL OPERATOR HOURS]]*Table139159[[#This Row],[OPERATOR RATE]]</f>
        <v>0</v>
      </c>
      <c r="Q254" s="14">
        <v>0</v>
      </c>
      <c r="R254" s="13">
        <v>0</v>
      </c>
      <c r="S254" s="13">
        <v>0</v>
      </c>
      <c r="T254" s="28"/>
      <c r="U254" s="37">
        <f>SUM(Table139159[[#This Row],[OPERATOR COST]:[UTILITIES]])*Table139159[[#This Row],[FREQUENCY   (TIMES PER YEAR)]]</f>
        <v>0</v>
      </c>
    </row>
    <row r="255" spans="1:21" ht="30" x14ac:dyDescent="0.25">
      <c r="A255" s="98" t="str">
        <f>IF(Table139159[[#This Row],[QUANTITY]]&gt;0, "YES", "NO")</f>
        <v>NO</v>
      </c>
      <c r="B255" s="27" t="s">
        <v>850</v>
      </c>
      <c r="C255" s="12" t="s">
        <v>31</v>
      </c>
      <c r="D255" s="12" t="s">
        <v>75</v>
      </c>
      <c r="E255" s="12" t="s">
        <v>319</v>
      </c>
      <c r="F255" s="12" t="s">
        <v>320</v>
      </c>
      <c r="G255" s="103" t="s">
        <v>204</v>
      </c>
      <c r="H255" s="103" t="s">
        <v>8</v>
      </c>
      <c r="I255" s="103">
        <v>1</v>
      </c>
      <c r="J255" s="103">
        <f>IFERROR(VLOOKUP(Table139159[[#This Row],[WORK ORDER]], '1. BUILDING ASSET INVENTORY'!A:K, 10, FALSE),0)</f>
        <v>0</v>
      </c>
      <c r="K255" s="102" t="str">
        <f>IFERROR(VLOOKUP(Table139159[[#This Row],[WORK ORDER]], '1. BUILDING ASSET INVENTORY'!A:L, 11, FALSE),"")</f>
        <v>Each</v>
      </c>
      <c r="L255" s="109">
        <v>1</v>
      </c>
      <c r="M255" s="197">
        <v>4</v>
      </c>
      <c r="N255" s="109">
        <f>Table139159[[#This Row],[OPERATOR HOURS (BASE)]]+Table139159[[#This Row],[QUANTITY]]*Table139159[[#This Row],[OPERATOR HOURS (PER UNIT)]]</f>
        <v>1</v>
      </c>
      <c r="O255" s="36">
        <f>'TABLE OF CONTENTS'!$K$34</f>
        <v>37.5</v>
      </c>
      <c r="P255" s="36">
        <f>Table139159[[#This Row],[TOTAL OPERATOR HOURS]]*Table139159[[#This Row],[OPERATOR RATE]]</f>
        <v>37.5</v>
      </c>
      <c r="Q255" s="14">
        <f>PRODUCT(Table139159[[#This Row],[QUANTITY]],500)</f>
        <v>0</v>
      </c>
      <c r="R255" s="13">
        <v>0</v>
      </c>
      <c r="S255" s="13">
        <v>0</v>
      </c>
      <c r="T255" s="28"/>
      <c r="U255" s="37">
        <f>SUM(Table139159[[#This Row],[OPERATOR COST]:[UTILITIES]])*Table139159[[#This Row],[FREQUENCY   (TIMES PER YEAR)]]</f>
        <v>37.5</v>
      </c>
    </row>
    <row r="256" spans="1:21" x14ac:dyDescent="0.25">
      <c r="A256" s="98" t="str">
        <f>IF(Table139159[[#This Row],[QUANTITY]]&gt;0, "YES", "NO")</f>
        <v>NO</v>
      </c>
      <c r="B256" s="27" t="s">
        <v>851</v>
      </c>
      <c r="C256" s="12" t="s">
        <v>31</v>
      </c>
      <c r="D256" s="12" t="s">
        <v>75</v>
      </c>
      <c r="E256" s="12" t="s">
        <v>2</v>
      </c>
      <c r="F256" s="12" t="s">
        <v>544</v>
      </c>
      <c r="G256" s="103" t="s">
        <v>204</v>
      </c>
      <c r="H256" s="103" t="s">
        <v>12</v>
      </c>
      <c r="I256" s="103">
        <v>1</v>
      </c>
      <c r="J256" s="103">
        <f>IFERROR(VLOOKUP(Table139159[[#This Row],[WORK ORDER]], '1. BUILDING ASSET INVENTORY'!A:K, 10, FALSE),0)</f>
        <v>0</v>
      </c>
      <c r="K256" s="102" t="str">
        <f>IFERROR(VLOOKUP(Table139159[[#This Row],[WORK ORDER]], '1. BUILDING ASSET INVENTORY'!A:L, 11, FALSE),"")</f>
        <v>Each</v>
      </c>
      <c r="L256" s="109">
        <v>1</v>
      </c>
      <c r="M256" s="197">
        <v>2</v>
      </c>
      <c r="N256" s="109">
        <f>Table139159[[#This Row],[OPERATOR HOURS (BASE)]]+Table139159[[#This Row],[QUANTITY]]*Table139159[[#This Row],[OPERATOR HOURS (PER UNIT)]]</f>
        <v>1</v>
      </c>
      <c r="O256" s="36">
        <f>'TABLE OF CONTENTS'!$K$34</f>
        <v>37.5</v>
      </c>
      <c r="P256" s="36">
        <f>Table139159[[#This Row],[TOTAL OPERATOR HOURS]]*Table139159[[#This Row],[OPERATOR RATE]]</f>
        <v>37.5</v>
      </c>
      <c r="Q256" s="14">
        <f>PRODUCT(Table139159[[#This Row],[QUANTITY]],200)</f>
        <v>0</v>
      </c>
      <c r="R256" s="13">
        <v>0</v>
      </c>
      <c r="S256" s="13">
        <v>0</v>
      </c>
      <c r="T256" s="28"/>
      <c r="U256" s="37">
        <f>SUM(Table139159[[#This Row],[OPERATOR COST]:[UTILITIES]])*Table139159[[#This Row],[FREQUENCY   (TIMES PER YEAR)]]</f>
        <v>37.5</v>
      </c>
    </row>
    <row r="257" spans="1:21" hidden="1" x14ac:dyDescent="0.25">
      <c r="A257" s="98" t="str">
        <f>IF(Table139159[[#This Row],[QUANTITY]]&gt;0, "YES", "NO")</f>
        <v>NO</v>
      </c>
      <c r="B257" s="27" t="s">
        <v>940</v>
      </c>
      <c r="C257" s="12" t="s">
        <v>31</v>
      </c>
      <c r="D257" s="12" t="s">
        <v>75</v>
      </c>
      <c r="E257" s="12" t="s">
        <v>53</v>
      </c>
      <c r="F257" s="12" t="s">
        <v>53</v>
      </c>
      <c r="G257" s="103" t="s">
        <v>15</v>
      </c>
      <c r="H257" s="103" t="s">
        <v>12</v>
      </c>
      <c r="I257" s="103">
        <v>0</v>
      </c>
      <c r="J257" s="103">
        <f>IFERROR(VLOOKUP(Table139159[[#This Row],[WORK ORDER]], '1. BUILDING ASSET INVENTORY'!A:K, 10, FALSE),0)</f>
        <v>0</v>
      </c>
      <c r="K257" s="102" t="str">
        <f>IFERROR(VLOOKUP(Table139159[[#This Row],[WORK ORDER]], '1. BUILDING ASSET INVENTORY'!A:L, 11, FALSE),"")</f>
        <v/>
      </c>
      <c r="L257" s="109"/>
      <c r="M257" s="197"/>
      <c r="N257" s="109">
        <f>Table139159[[#This Row],[OPERATOR HOURS (BASE)]]+Table139159[[#This Row],[QUANTITY]]*Table139159[[#This Row],[OPERATOR HOURS (PER UNIT)]]</f>
        <v>0</v>
      </c>
      <c r="O257" s="36">
        <f>'TABLE OF CONTENTS'!$K$34</f>
        <v>37.5</v>
      </c>
      <c r="P257" s="36">
        <f>Table139159[[#This Row],[TOTAL OPERATOR HOURS]]*Table139159[[#This Row],[OPERATOR RATE]]</f>
        <v>0</v>
      </c>
      <c r="Q257" s="14">
        <v>0</v>
      </c>
      <c r="R257" s="13">
        <v>0</v>
      </c>
      <c r="S257" s="13">
        <v>0</v>
      </c>
      <c r="T257" s="28"/>
      <c r="U257" s="37">
        <f>SUM(Table139159[[#This Row],[OPERATOR COST]:[UTILITIES]])*Table139159[[#This Row],[FREQUENCY   (TIMES PER YEAR)]]</f>
        <v>0</v>
      </c>
    </row>
    <row r="258" spans="1:21" hidden="1" x14ac:dyDescent="0.25">
      <c r="A258" s="98" t="str">
        <f>IF(Table139159[[#This Row],[QUANTITY]]&gt;0, "YES", "NO")</f>
        <v>NO</v>
      </c>
      <c r="B258" s="27" t="s">
        <v>939</v>
      </c>
      <c r="C258" s="12" t="s">
        <v>31</v>
      </c>
      <c r="D258" s="12" t="s">
        <v>75</v>
      </c>
      <c r="E258" s="12" t="s">
        <v>53</v>
      </c>
      <c r="F258" s="12" t="s">
        <v>53</v>
      </c>
      <c r="G258" s="103" t="s">
        <v>15</v>
      </c>
      <c r="H258" s="103" t="s">
        <v>12</v>
      </c>
      <c r="I258" s="103">
        <v>0</v>
      </c>
      <c r="J258" s="103">
        <f>IFERROR(VLOOKUP(Table139159[[#This Row],[WORK ORDER]], '1. BUILDING ASSET INVENTORY'!A:K, 10, FALSE),0)</f>
        <v>0</v>
      </c>
      <c r="K258" s="102" t="str">
        <f>IFERROR(VLOOKUP(Table139159[[#This Row],[WORK ORDER]], '1. BUILDING ASSET INVENTORY'!A:L, 11, FALSE),"")</f>
        <v/>
      </c>
      <c r="L258" s="109"/>
      <c r="M258" s="197"/>
      <c r="N258" s="109">
        <f>Table139159[[#This Row],[OPERATOR HOURS (BASE)]]+Table139159[[#This Row],[QUANTITY]]*Table139159[[#This Row],[OPERATOR HOURS (PER UNIT)]]</f>
        <v>0</v>
      </c>
      <c r="O258" s="36">
        <f>'TABLE OF CONTENTS'!$K$34</f>
        <v>37.5</v>
      </c>
      <c r="P258" s="36">
        <f>Table139159[[#This Row],[TOTAL OPERATOR HOURS]]*Table139159[[#This Row],[OPERATOR RATE]]</f>
        <v>0</v>
      </c>
      <c r="Q258" s="14">
        <v>0</v>
      </c>
      <c r="R258" s="13">
        <v>0</v>
      </c>
      <c r="S258" s="13">
        <v>0</v>
      </c>
      <c r="T258" s="28"/>
      <c r="U258" s="37">
        <f>SUM(Table139159[[#This Row],[OPERATOR COST]:[UTILITIES]])*Table139159[[#This Row],[FREQUENCY   (TIMES PER YEAR)]]</f>
        <v>0</v>
      </c>
    </row>
    <row r="259" spans="1:21" hidden="1" x14ac:dyDescent="0.25">
      <c r="A259" s="98" t="str">
        <f>IF(Table139159[[#This Row],[QUANTITY]]&gt;0, "YES", "NO")</f>
        <v>NO</v>
      </c>
      <c r="B259" s="27" t="s">
        <v>938</v>
      </c>
      <c r="C259" s="12" t="s">
        <v>31</v>
      </c>
      <c r="D259" s="12" t="s">
        <v>75</v>
      </c>
      <c r="E259" s="12" t="s">
        <v>53</v>
      </c>
      <c r="F259" s="12" t="s">
        <v>53</v>
      </c>
      <c r="G259" s="103" t="s">
        <v>15</v>
      </c>
      <c r="H259" s="103" t="s">
        <v>12</v>
      </c>
      <c r="I259" s="103">
        <v>0</v>
      </c>
      <c r="J259" s="103">
        <f>IFERROR(VLOOKUP(Table139159[[#This Row],[WORK ORDER]], '1. BUILDING ASSET INVENTORY'!A:K, 10, FALSE),0)</f>
        <v>0</v>
      </c>
      <c r="K259" s="102" t="str">
        <f>IFERROR(VLOOKUP(Table139159[[#This Row],[WORK ORDER]], '1. BUILDING ASSET INVENTORY'!A:L, 11, FALSE),"")</f>
        <v/>
      </c>
      <c r="L259" s="109"/>
      <c r="M259" s="197"/>
      <c r="N259" s="109">
        <f>Table139159[[#This Row],[OPERATOR HOURS (BASE)]]+Table139159[[#This Row],[QUANTITY]]*Table139159[[#This Row],[OPERATOR HOURS (PER UNIT)]]</f>
        <v>0</v>
      </c>
      <c r="O259" s="36">
        <f>'TABLE OF CONTENTS'!$K$34</f>
        <v>37.5</v>
      </c>
      <c r="P259" s="36">
        <f>Table139159[[#This Row],[TOTAL OPERATOR HOURS]]*Table139159[[#This Row],[OPERATOR RATE]]</f>
        <v>0</v>
      </c>
      <c r="Q259" s="14">
        <v>0</v>
      </c>
      <c r="R259" s="13">
        <v>0</v>
      </c>
      <c r="S259" s="13">
        <v>0</v>
      </c>
      <c r="T259" s="28"/>
      <c r="U259" s="37">
        <f>SUM(Table139159[[#This Row],[OPERATOR COST]:[UTILITIES]])*Table139159[[#This Row],[FREQUENCY   (TIMES PER YEAR)]]</f>
        <v>0</v>
      </c>
    </row>
    <row r="260" spans="1:21" hidden="1" x14ac:dyDescent="0.25">
      <c r="A260" s="98" t="str">
        <f>IF(Table139159[[#This Row],[QUANTITY]]&gt;0, "YES", "NO")</f>
        <v>NO</v>
      </c>
      <c r="B260" s="42" t="s">
        <v>937</v>
      </c>
      <c r="C260" s="17" t="s">
        <v>31</v>
      </c>
      <c r="D260" s="17" t="s">
        <v>75</v>
      </c>
      <c r="E260" s="17" t="s">
        <v>53</v>
      </c>
      <c r="F260" s="17" t="s">
        <v>53</v>
      </c>
      <c r="G260" s="107" t="s">
        <v>15</v>
      </c>
      <c r="H260" s="107" t="s">
        <v>12</v>
      </c>
      <c r="I260" s="107">
        <v>0</v>
      </c>
      <c r="J260" s="107">
        <f>IFERROR(VLOOKUP(Table139159[[#This Row],[WORK ORDER]], '1. BUILDING ASSET INVENTORY'!A:K, 10, FALSE),0)</f>
        <v>0</v>
      </c>
      <c r="K260" s="102" t="str">
        <f>IFERROR(VLOOKUP(Table139159[[#This Row],[WORK ORDER]], '1. BUILDING ASSET INVENTORY'!A:L, 11, FALSE),"")</f>
        <v/>
      </c>
      <c r="L260" s="111"/>
      <c r="M260" s="199"/>
      <c r="N260" s="111">
        <f>Table139159[[#This Row],[OPERATOR HOURS (BASE)]]+Table139159[[#This Row],[QUANTITY]]*Table139159[[#This Row],[OPERATOR HOURS (PER UNIT)]]</f>
        <v>0</v>
      </c>
      <c r="O260" s="36">
        <f>'TABLE OF CONTENTS'!$K$34</f>
        <v>37.5</v>
      </c>
      <c r="P260" s="36">
        <f>Table139159[[#This Row],[TOTAL OPERATOR HOURS]]*Table139159[[#This Row],[OPERATOR RATE]]</f>
        <v>0</v>
      </c>
      <c r="Q260" s="18">
        <v>0</v>
      </c>
      <c r="R260" s="19">
        <v>0</v>
      </c>
      <c r="S260" s="19">
        <v>0</v>
      </c>
      <c r="T260" s="31"/>
      <c r="U260" s="37">
        <f>SUM(Table139159[[#This Row],[OPERATOR COST]:[UTILITIES]])*Table139159[[#This Row],[FREQUENCY   (TIMES PER YEAR)]]</f>
        <v>0</v>
      </c>
    </row>
    <row r="261" spans="1:21" x14ac:dyDescent="0.25">
      <c r="A261" s="98" t="str">
        <f>IF(Table139159[[#This Row],[QUANTITY]]&gt;0, "YES", "NO")</f>
        <v>NO</v>
      </c>
      <c r="B261" s="27" t="s">
        <v>747</v>
      </c>
      <c r="C261" s="12" t="s">
        <v>31</v>
      </c>
      <c r="D261" s="12" t="s">
        <v>76</v>
      </c>
      <c r="E261" s="12" t="s">
        <v>101</v>
      </c>
      <c r="F261" s="12" t="s">
        <v>545</v>
      </c>
      <c r="G261" s="103" t="s">
        <v>204</v>
      </c>
      <c r="H261" s="103" t="s">
        <v>230</v>
      </c>
      <c r="I261" s="103">
        <f>1/3</f>
        <v>0.33333333333333331</v>
      </c>
      <c r="J261" s="103">
        <f>IFERROR(VLOOKUP(Table139159[[#This Row],[WORK ORDER]], '1. BUILDING ASSET INVENTORY'!A:K, 10, FALSE),0)</f>
        <v>0</v>
      </c>
      <c r="K261" s="102" t="str">
        <f>IFERROR(VLOOKUP(Table139159[[#This Row],[WORK ORDER]], '1. BUILDING ASSET INVENTORY'!A:L, 11, FALSE),"")</f>
        <v>Each</v>
      </c>
      <c r="L261" s="109">
        <v>1</v>
      </c>
      <c r="M261" s="197">
        <v>0.5</v>
      </c>
      <c r="N261" s="109">
        <f>Table139159[[#This Row],[OPERATOR HOURS (BASE)]]+Table139159[[#This Row],[QUANTITY]]*Table139159[[#This Row],[OPERATOR HOURS (PER UNIT)]]</f>
        <v>1</v>
      </c>
      <c r="O261" s="36">
        <f>'TABLE OF CONTENTS'!$K$34</f>
        <v>37.5</v>
      </c>
      <c r="P261" s="36">
        <f>Table139159[[#This Row],[TOTAL OPERATOR HOURS]]*Table139159[[#This Row],[OPERATOR RATE]]</f>
        <v>37.5</v>
      </c>
      <c r="Q261" s="15">
        <v>0</v>
      </c>
      <c r="R261" s="13">
        <v>0</v>
      </c>
      <c r="S261" s="13">
        <v>5</v>
      </c>
      <c r="T261" s="28"/>
      <c r="U261" s="37">
        <f>SUM(Table139159[[#This Row],[OPERATOR COST]:[UTILITIES]])*Table139159[[#This Row],[FREQUENCY   (TIMES PER YEAR)]]</f>
        <v>14.166666666666666</v>
      </c>
    </row>
    <row r="262" spans="1:21" hidden="1" x14ac:dyDescent="0.25">
      <c r="A262" s="98" t="str">
        <f>IF(Table139159[[#This Row],[QUANTITY]]&gt;0, "YES", "NO")</f>
        <v>NO</v>
      </c>
      <c r="B262" s="27" t="s">
        <v>748</v>
      </c>
      <c r="C262" s="20" t="s">
        <v>31</v>
      </c>
      <c r="D262" s="20" t="s">
        <v>76</v>
      </c>
      <c r="E262" s="20" t="s">
        <v>53</v>
      </c>
      <c r="F262" s="20" t="s">
        <v>53</v>
      </c>
      <c r="G262" s="105" t="s">
        <v>15</v>
      </c>
      <c r="H262" s="105" t="s">
        <v>12</v>
      </c>
      <c r="I262" s="105">
        <v>0</v>
      </c>
      <c r="J262" s="105">
        <f>IFERROR(VLOOKUP(Table139159[[#This Row],[WORK ORDER]], '1. BUILDING ASSET INVENTORY'!A:K, 10, FALSE),0)</f>
        <v>0</v>
      </c>
      <c r="K262" s="102" t="str">
        <f>IFERROR(VLOOKUP(Table139159[[#This Row],[WORK ORDER]], '1. BUILDING ASSET INVENTORY'!A:L, 11, FALSE),"")</f>
        <v/>
      </c>
      <c r="L262" s="110"/>
      <c r="M262" s="198"/>
      <c r="N262" s="110">
        <f>Table139159[[#This Row],[OPERATOR HOURS (BASE)]]+Table139159[[#This Row],[QUANTITY]]*Table139159[[#This Row],[OPERATOR HOURS (PER UNIT)]]</f>
        <v>0</v>
      </c>
      <c r="O262" s="36">
        <f>'TABLE OF CONTENTS'!$K$34</f>
        <v>37.5</v>
      </c>
      <c r="P262" s="36">
        <f>Table139159[[#This Row],[TOTAL OPERATOR HOURS]]*Table139159[[#This Row],[OPERATOR RATE]]</f>
        <v>0</v>
      </c>
      <c r="Q262" s="44">
        <v>0</v>
      </c>
      <c r="R262" s="22">
        <v>0</v>
      </c>
      <c r="S262" s="22">
        <v>0</v>
      </c>
      <c r="T262" s="32"/>
      <c r="U262" s="37">
        <f>SUM(Table139159[[#This Row],[OPERATOR COST]:[UTILITIES]])*Table139159[[#This Row],[FREQUENCY   (TIMES PER YEAR)]]</f>
        <v>0</v>
      </c>
    </row>
    <row r="263" spans="1:21" hidden="1" x14ac:dyDescent="0.25">
      <c r="A263" s="98" t="str">
        <f>IF(Table139159[[#This Row],[QUANTITY]]&gt;0, "YES", "NO")</f>
        <v>NO</v>
      </c>
      <c r="B263" s="27" t="s">
        <v>749</v>
      </c>
      <c r="C263" s="12" t="s">
        <v>31</v>
      </c>
      <c r="D263" s="12" t="s">
        <v>76</v>
      </c>
      <c r="E263" s="12" t="s">
        <v>53</v>
      </c>
      <c r="F263" s="12" t="s">
        <v>53</v>
      </c>
      <c r="G263" s="103" t="s">
        <v>15</v>
      </c>
      <c r="H263" s="103" t="s">
        <v>12</v>
      </c>
      <c r="I263" s="103">
        <v>0</v>
      </c>
      <c r="J263" s="103">
        <f>IFERROR(VLOOKUP(Table139159[[#This Row],[WORK ORDER]], '1. BUILDING ASSET INVENTORY'!A:K, 10, FALSE),0)</f>
        <v>0</v>
      </c>
      <c r="K263" s="102" t="str">
        <f>IFERROR(VLOOKUP(Table139159[[#This Row],[WORK ORDER]], '1. BUILDING ASSET INVENTORY'!A:L, 11, FALSE),"")</f>
        <v/>
      </c>
      <c r="L263" s="109"/>
      <c r="M263" s="197"/>
      <c r="N263" s="109">
        <f>Table139159[[#This Row],[OPERATOR HOURS (BASE)]]+Table139159[[#This Row],[QUANTITY]]*Table139159[[#This Row],[OPERATOR HOURS (PER UNIT)]]</f>
        <v>0</v>
      </c>
      <c r="O263" s="36">
        <f>'TABLE OF CONTENTS'!$K$34</f>
        <v>37.5</v>
      </c>
      <c r="P263" s="36">
        <f>Table139159[[#This Row],[TOTAL OPERATOR HOURS]]*Table139159[[#This Row],[OPERATOR RATE]]</f>
        <v>0</v>
      </c>
      <c r="Q263" s="15">
        <v>0</v>
      </c>
      <c r="R263" s="13">
        <v>0</v>
      </c>
      <c r="S263" s="13">
        <v>0</v>
      </c>
      <c r="T263" s="28"/>
      <c r="U263" s="37">
        <f>SUM(Table139159[[#This Row],[OPERATOR COST]:[UTILITIES]])*Table139159[[#This Row],[FREQUENCY   (TIMES PER YEAR)]]</f>
        <v>0</v>
      </c>
    </row>
    <row r="264" spans="1:21" hidden="1" x14ac:dyDescent="0.25">
      <c r="A264" s="98" t="str">
        <f>IF(Table139159[[#This Row],[QUANTITY]]&gt;0, "YES", "NO")</f>
        <v>NO</v>
      </c>
      <c r="B264" s="27" t="s">
        <v>750</v>
      </c>
      <c r="C264" s="12" t="s">
        <v>31</v>
      </c>
      <c r="D264" s="12" t="s">
        <v>76</v>
      </c>
      <c r="E264" s="12" t="s">
        <v>53</v>
      </c>
      <c r="F264" s="12" t="s">
        <v>53</v>
      </c>
      <c r="G264" s="103" t="s">
        <v>15</v>
      </c>
      <c r="H264" s="103" t="s">
        <v>12</v>
      </c>
      <c r="I264" s="103">
        <v>1</v>
      </c>
      <c r="J264" s="103">
        <f>IFERROR(VLOOKUP(Table139159[[#This Row],[WORK ORDER]], '1. BUILDING ASSET INVENTORY'!A:K, 10, FALSE),0)</f>
        <v>0</v>
      </c>
      <c r="K264" s="102" t="str">
        <f>IFERROR(VLOOKUP(Table139159[[#This Row],[WORK ORDER]], '1. BUILDING ASSET INVENTORY'!A:L, 11, FALSE),"")</f>
        <v/>
      </c>
      <c r="L264" s="109"/>
      <c r="M264" s="197"/>
      <c r="N264" s="109">
        <f>Table139159[[#This Row],[OPERATOR HOURS (BASE)]]+Table139159[[#This Row],[QUANTITY]]*Table139159[[#This Row],[OPERATOR HOURS (PER UNIT)]]</f>
        <v>0</v>
      </c>
      <c r="O264" s="36">
        <f>'TABLE OF CONTENTS'!$K$34</f>
        <v>37.5</v>
      </c>
      <c r="P264" s="36">
        <f>Table139159[[#This Row],[TOTAL OPERATOR HOURS]]*Table139159[[#This Row],[OPERATOR RATE]]</f>
        <v>0</v>
      </c>
      <c r="Q264" s="14">
        <v>0</v>
      </c>
      <c r="R264" s="13">
        <v>0</v>
      </c>
      <c r="S264" s="13">
        <v>0</v>
      </c>
      <c r="T264" s="28"/>
      <c r="U264" s="37">
        <f>SUM(Table139159[[#This Row],[OPERATOR COST]:[UTILITIES]])*Table139159[[#This Row],[FREQUENCY   (TIMES PER YEAR)]]</f>
        <v>0</v>
      </c>
    </row>
    <row r="265" spans="1:21" hidden="1" x14ac:dyDescent="0.25">
      <c r="A265" s="98" t="str">
        <f>IF(Table139159[[#This Row],[QUANTITY]]&gt;0, "YES", "NO")</f>
        <v>NO</v>
      </c>
      <c r="B265" s="27" t="s">
        <v>751</v>
      </c>
      <c r="C265" s="12" t="s">
        <v>31</v>
      </c>
      <c r="D265" s="12" t="s">
        <v>76</v>
      </c>
      <c r="E265" s="12" t="s">
        <v>53</v>
      </c>
      <c r="F265" s="12" t="s">
        <v>53</v>
      </c>
      <c r="G265" s="103" t="s">
        <v>15</v>
      </c>
      <c r="H265" s="103" t="s">
        <v>12</v>
      </c>
      <c r="I265" s="103">
        <v>1</v>
      </c>
      <c r="J265" s="103">
        <f>IFERROR(VLOOKUP(Table139159[[#This Row],[WORK ORDER]], '1. BUILDING ASSET INVENTORY'!A:K, 10, FALSE),0)</f>
        <v>0</v>
      </c>
      <c r="K265" s="102" t="str">
        <f>IFERROR(VLOOKUP(Table139159[[#This Row],[WORK ORDER]], '1. BUILDING ASSET INVENTORY'!A:L, 11, FALSE),"")</f>
        <v/>
      </c>
      <c r="L265" s="109"/>
      <c r="M265" s="197"/>
      <c r="N265" s="109">
        <f>Table139159[[#This Row],[OPERATOR HOURS (BASE)]]+Table139159[[#This Row],[QUANTITY]]*Table139159[[#This Row],[OPERATOR HOURS (PER UNIT)]]</f>
        <v>0</v>
      </c>
      <c r="O265" s="36">
        <f>'TABLE OF CONTENTS'!$K$34</f>
        <v>37.5</v>
      </c>
      <c r="P265" s="36">
        <f>Table139159[[#This Row],[TOTAL OPERATOR HOURS]]*Table139159[[#This Row],[OPERATOR RATE]]</f>
        <v>0</v>
      </c>
      <c r="Q265" s="14">
        <v>0</v>
      </c>
      <c r="R265" s="13">
        <v>0</v>
      </c>
      <c r="S265" s="13">
        <v>0</v>
      </c>
      <c r="T265" s="28"/>
      <c r="U265" s="37">
        <f>SUM(Table139159[[#This Row],[OPERATOR COST]:[UTILITIES]])*Table139159[[#This Row],[FREQUENCY   (TIMES PER YEAR)]]</f>
        <v>0</v>
      </c>
    </row>
    <row r="266" spans="1:21" hidden="1" x14ac:dyDescent="0.25">
      <c r="A266" s="98" t="str">
        <f>IF(Table139159[[#This Row],[QUANTITY]]&gt;0, "YES", "NO")</f>
        <v>NO</v>
      </c>
      <c r="B266" s="27" t="s">
        <v>752</v>
      </c>
      <c r="C266" s="12" t="s">
        <v>31</v>
      </c>
      <c r="D266" s="12" t="s">
        <v>76</v>
      </c>
      <c r="E266" s="12" t="s">
        <v>101</v>
      </c>
      <c r="F266" s="12" t="s">
        <v>546</v>
      </c>
      <c r="G266" s="103" t="s">
        <v>217</v>
      </c>
      <c r="H266" s="103" t="s">
        <v>132</v>
      </c>
      <c r="I266" s="103">
        <f>1/10</f>
        <v>0.1</v>
      </c>
      <c r="J266" s="103">
        <f>IFERROR(VLOOKUP(Table139159[[#This Row],[WORK ORDER]], '1. BUILDING ASSET INVENTORY'!A:K, 10, FALSE),0)</f>
        <v>0</v>
      </c>
      <c r="K266" s="102" t="str">
        <f>IFERROR(VLOOKUP(Table139159[[#This Row],[WORK ORDER]], '1. BUILDING ASSET INVENTORY'!A:L, 11, FALSE),"")</f>
        <v>Each</v>
      </c>
      <c r="L266" s="109">
        <v>1</v>
      </c>
      <c r="M266" s="197">
        <v>2</v>
      </c>
      <c r="N266" s="109">
        <f>Table139159[[#This Row],[OPERATOR HOURS (BASE)]]+Table139159[[#This Row],[QUANTITY]]*Table139159[[#This Row],[OPERATOR HOURS (PER UNIT)]]</f>
        <v>1</v>
      </c>
      <c r="O266" s="36">
        <f>'TABLE OF CONTENTS'!$K$34</f>
        <v>37.5</v>
      </c>
      <c r="P266" s="36">
        <f>Table139159[[#This Row],[TOTAL OPERATOR HOURS]]*Table139159[[#This Row],[OPERATOR RATE]]</f>
        <v>37.5</v>
      </c>
      <c r="Q266" s="14">
        <f>PRODUCT(Table139159[[#This Row],[QUANTITY]],700)</f>
        <v>0</v>
      </c>
      <c r="R266" s="13">
        <v>0</v>
      </c>
      <c r="S266" s="13">
        <v>0</v>
      </c>
      <c r="T266" s="28"/>
      <c r="U266" s="37">
        <f>SUM(Table139159[[#This Row],[OPERATOR COST]:[UTILITIES]])*Table139159[[#This Row],[FREQUENCY   (TIMES PER YEAR)]]</f>
        <v>3.75</v>
      </c>
    </row>
    <row r="267" spans="1:21" hidden="1" x14ac:dyDescent="0.25">
      <c r="A267" s="98" t="str">
        <f>IF(Table139159[[#This Row],[QUANTITY]]&gt;0, "YES", "NO")</f>
        <v>NO</v>
      </c>
      <c r="B267" s="27" t="s">
        <v>753</v>
      </c>
      <c r="C267" s="12" t="s">
        <v>31</v>
      </c>
      <c r="D267" s="12" t="s">
        <v>76</v>
      </c>
      <c r="E267" s="12" t="s">
        <v>101</v>
      </c>
      <c r="F267" s="12" t="s">
        <v>547</v>
      </c>
      <c r="G267" s="103" t="s">
        <v>217</v>
      </c>
      <c r="H267" s="103" t="s">
        <v>347</v>
      </c>
      <c r="I267" s="103">
        <f>1/15</f>
        <v>6.6666666666666666E-2</v>
      </c>
      <c r="J267" s="103">
        <f>IFERROR(VLOOKUP(Table139159[[#This Row],[WORK ORDER]], '1. BUILDING ASSET INVENTORY'!A:K, 10, FALSE),0)</f>
        <v>0</v>
      </c>
      <c r="K267" s="102" t="str">
        <f>IFERROR(VLOOKUP(Table139159[[#This Row],[WORK ORDER]], '1. BUILDING ASSET INVENTORY'!A:L, 11, FALSE),"")</f>
        <v>Each</v>
      </c>
      <c r="L267" s="109">
        <v>1</v>
      </c>
      <c r="M267" s="197">
        <v>2</v>
      </c>
      <c r="N267" s="109">
        <f>Table139159[[#This Row],[OPERATOR HOURS (BASE)]]+Table139159[[#This Row],[QUANTITY]]*Table139159[[#This Row],[OPERATOR HOURS (PER UNIT)]]</f>
        <v>1</v>
      </c>
      <c r="O267" s="36">
        <f>'TABLE OF CONTENTS'!$K$34</f>
        <v>37.5</v>
      </c>
      <c r="P267" s="36">
        <f>Table139159[[#This Row],[TOTAL OPERATOR HOURS]]*Table139159[[#This Row],[OPERATOR RATE]]</f>
        <v>37.5</v>
      </c>
      <c r="Q267" s="14">
        <f>PRODUCT(Table139159[[#This Row],[QUANTITY]],500)</f>
        <v>0</v>
      </c>
      <c r="R267" s="13">
        <v>0</v>
      </c>
      <c r="S267" s="13">
        <v>0</v>
      </c>
      <c r="T267" s="28"/>
      <c r="U267" s="37">
        <f>SUM(Table139159[[#This Row],[OPERATOR COST]:[UTILITIES]])*Table139159[[#This Row],[FREQUENCY   (TIMES PER YEAR)]]</f>
        <v>2.5</v>
      </c>
    </row>
    <row r="268" spans="1:21" x14ac:dyDescent="0.25">
      <c r="A268" s="98" t="str">
        <f>IF(Table139159[[#This Row],[QUANTITY]]&gt;0, "YES", "NO")</f>
        <v>NO</v>
      </c>
      <c r="B268" s="27" t="s">
        <v>754</v>
      </c>
      <c r="C268" s="12" t="s">
        <v>31</v>
      </c>
      <c r="D268" s="12" t="s">
        <v>76</v>
      </c>
      <c r="E268" s="12" t="s">
        <v>101</v>
      </c>
      <c r="F268" s="12" t="s">
        <v>355</v>
      </c>
      <c r="G268" s="103" t="s">
        <v>204</v>
      </c>
      <c r="H268" s="103" t="s">
        <v>12</v>
      </c>
      <c r="I268" s="103">
        <v>1</v>
      </c>
      <c r="J268" s="103">
        <f>IFERROR(VLOOKUP(Table139159[[#This Row],[WORK ORDER]], '1. BUILDING ASSET INVENTORY'!A:K, 10, FALSE),0)</f>
        <v>0</v>
      </c>
      <c r="K268" s="102" t="str">
        <f>IFERROR(VLOOKUP(Table139159[[#This Row],[WORK ORDER]], '1. BUILDING ASSET INVENTORY'!A:L, 11, FALSE),"")</f>
        <v>Each</v>
      </c>
      <c r="L268" s="109">
        <v>1</v>
      </c>
      <c r="M268" s="197">
        <v>2</v>
      </c>
      <c r="N268" s="109">
        <f>Table139159[[#This Row],[OPERATOR HOURS (BASE)]]+Table139159[[#This Row],[QUANTITY]]*Table139159[[#This Row],[OPERATOR HOURS (PER UNIT)]]</f>
        <v>1</v>
      </c>
      <c r="O268" s="36">
        <f>'TABLE OF CONTENTS'!$K$34</f>
        <v>37.5</v>
      </c>
      <c r="P268" s="36">
        <f>Table139159[[#This Row],[TOTAL OPERATOR HOURS]]*Table139159[[#This Row],[OPERATOR RATE]]</f>
        <v>37.5</v>
      </c>
      <c r="Q268" s="14">
        <f>PRODUCT(Table139159[[#This Row],[QUANTITY]],50)</f>
        <v>0</v>
      </c>
      <c r="R268" s="13">
        <v>0</v>
      </c>
      <c r="S268" s="13">
        <v>0</v>
      </c>
      <c r="T268" s="28"/>
      <c r="U268" s="37">
        <f>SUM(Table139159[[#This Row],[OPERATOR COST]:[UTILITIES]])*Table139159[[#This Row],[FREQUENCY   (TIMES PER YEAR)]]</f>
        <v>37.5</v>
      </c>
    </row>
    <row r="269" spans="1:21" x14ac:dyDescent="0.25">
      <c r="A269" s="98" t="str">
        <f>IF(Table139159[[#This Row],[QUANTITY]]&gt;0, "YES", "NO")</f>
        <v>NO</v>
      </c>
      <c r="B269" s="27" t="s">
        <v>755</v>
      </c>
      <c r="C269" s="12" t="s">
        <v>31</v>
      </c>
      <c r="D269" s="12" t="s">
        <v>76</v>
      </c>
      <c r="E269" s="12" t="s">
        <v>104</v>
      </c>
      <c r="F269" s="12" t="s">
        <v>321</v>
      </c>
      <c r="G269" s="103" t="s">
        <v>204</v>
      </c>
      <c r="H269" s="103" t="s">
        <v>8</v>
      </c>
      <c r="I269" s="103">
        <v>1</v>
      </c>
      <c r="J269" s="103">
        <f>IFERROR(VLOOKUP(Table139159[[#This Row],[WORK ORDER]], '1. BUILDING ASSET INVENTORY'!A:K, 10, FALSE),0)</f>
        <v>0</v>
      </c>
      <c r="K269" s="102" t="str">
        <f>IFERROR(VLOOKUP(Table139159[[#This Row],[WORK ORDER]], '1. BUILDING ASSET INVENTORY'!A:L, 11, FALSE),"")</f>
        <v>Each</v>
      </c>
      <c r="L269" s="109">
        <v>1</v>
      </c>
      <c r="M269" s="197">
        <v>4</v>
      </c>
      <c r="N269" s="109">
        <f>Table139159[[#This Row],[OPERATOR HOURS (BASE)]]+Table139159[[#This Row],[QUANTITY]]*Table139159[[#This Row],[OPERATOR HOURS (PER UNIT)]]</f>
        <v>1</v>
      </c>
      <c r="O269" s="36">
        <f>'TABLE OF CONTENTS'!$K$34</f>
        <v>37.5</v>
      </c>
      <c r="P269" s="36">
        <f>Table139159[[#This Row],[TOTAL OPERATOR HOURS]]*Table139159[[#This Row],[OPERATOR RATE]]</f>
        <v>37.5</v>
      </c>
      <c r="Q269" s="14">
        <f>PRODUCT(Table139159[[#This Row],[QUANTITY]],50)</f>
        <v>0</v>
      </c>
      <c r="R269" s="13">
        <v>0</v>
      </c>
      <c r="S269" s="13">
        <v>0</v>
      </c>
      <c r="T269" s="28"/>
      <c r="U269" s="37">
        <f>SUM(Table139159[[#This Row],[OPERATOR COST]:[UTILITIES]])*Table139159[[#This Row],[FREQUENCY   (TIMES PER YEAR)]]</f>
        <v>37.5</v>
      </c>
    </row>
    <row r="270" spans="1:21" x14ac:dyDescent="0.25">
      <c r="A270" s="98" t="str">
        <f>IF(Table139159[[#This Row],[QUANTITY]]&gt;0, "YES", "NO")</f>
        <v>NO</v>
      </c>
      <c r="B270" s="27" t="s">
        <v>389</v>
      </c>
      <c r="C270" s="12" t="s">
        <v>31</v>
      </c>
      <c r="D270" s="12" t="s">
        <v>76</v>
      </c>
      <c r="E270" s="12" t="s">
        <v>105</v>
      </c>
      <c r="F270" s="12" t="s">
        <v>322</v>
      </c>
      <c r="G270" s="103" t="s">
        <v>204</v>
      </c>
      <c r="H270" s="103" t="s">
        <v>8</v>
      </c>
      <c r="I270" s="103">
        <v>1</v>
      </c>
      <c r="J270" s="103">
        <f>IFERROR(VLOOKUP(Table139159[[#This Row],[WORK ORDER]], '1. BUILDING ASSET INVENTORY'!A:K, 10, FALSE),0)</f>
        <v>0</v>
      </c>
      <c r="K270" s="102" t="str">
        <f>IFERROR(VLOOKUP(Table139159[[#This Row],[WORK ORDER]], '1. BUILDING ASSET INVENTORY'!A:L, 11, FALSE),"")</f>
        <v>Each</v>
      </c>
      <c r="L270" s="109">
        <v>1</v>
      </c>
      <c r="M270" s="197">
        <v>6</v>
      </c>
      <c r="N270" s="109">
        <f>Table139159[[#This Row],[OPERATOR HOURS (BASE)]]+Table139159[[#This Row],[QUANTITY]]*Table139159[[#This Row],[OPERATOR HOURS (PER UNIT)]]</f>
        <v>1</v>
      </c>
      <c r="O270" s="36">
        <f>'TABLE OF CONTENTS'!$K$34</f>
        <v>37.5</v>
      </c>
      <c r="P270" s="36">
        <f>Table139159[[#This Row],[TOTAL OPERATOR HOURS]]*Table139159[[#This Row],[OPERATOR RATE]]</f>
        <v>37.5</v>
      </c>
      <c r="Q270" s="14">
        <f>PRODUCT(Table139159[[#This Row],[QUANTITY]],100)</f>
        <v>0</v>
      </c>
      <c r="R270" s="13">
        <v>0</v>
      </c>
      <c r="S270" s="13">
        <v>0</v>
      </c>
      <c r="T270" s="28"/>
      <c r="U270" s="37">
        <f>SUM(Table139159[[#This Row],[OPERATOR COST]:[UTILITIES]])*Table139159[[#This Row],[FREQUENCY   (TIMES PER YEAR)]]</f>
        <v>37.5</v>
      </c>
    </row>
    <row r="271" spans="1:21" hidden="1" x14ac:dyDescent="0.25">
      <c r="A271" s="98" t="str">
        <f>IF(Table139159[[#This Row],[QUANTITY]]&gt;0, "YES", "NO")</f>
        <v>NO</v>
      </c>
      <c r="B271" s="27" t="s">
        <v>390</v>
      </c>
      <c r="C271" s="12" t="s">
        <v>31</v>
      </c>
      <c r="D271" s="12" t="s">
        <v>76</v>
      </c>
      <c r="E271" s="12" t="s">
        <v>53</v>
      </c>
      <c r="F271" s="12" t="s">
        <v>53</v>
      </c>
      <c r="G271" s="103" t="s">
        <v>15</v>
      </c>
      <c r="H271" s="103" t="s">
        <v>12</v>
      </c>
      <c r="I271" s="103">
        <v>0</v>
      </c>
      <c r="J271" s="103">
        <f>IFERROR(VLOOKUP(Table139159[[#This Row],[WORK ORDER]], '1. BUILDING ASSET INVENTORY'!A:K, 10, FALSE),0)</f>
        <v>0</v>
      </c>
      <c r="K271" s="102" t="str">
        <f>IFERROR(VLOOKUP(Table139159[[#This Row],[WORK ORDER]], '1. BUILDING ASSET INVENTORY'!A:L, 11, FALSE),"")</f>
        <v/>
      </c>
      <c r="L271" s="109"/>
      <c r="M271" s="197"/>
      <c r="N271" s="109">
        <f>Table139159[[#This Row],[OPERATOR HOURS (BASE)]]+Table139159[[#This Row],[QUANTITY]]*Table139159[[#This Row],[OPERATOR HOURS (PER UNIT)]]</f>
        <v>0</v>
      </c>
      <c r="O271" s="36">
        <f>'TABLE OF CONTENTS'!$K$34</f>
        <v>37.5</v>
      </c>
      <c r="P271" s="36">
        <f>Table139159[[#This Row],[TOTAL OPERATOR HOURS]]*Table139159[[#This Row],[OPERATOR RATE]]</f>
        <v>0</v>
      </c>
      <c r="Q271" s="14">
        <v>0</v>
      </c>
      <c r="R271" s="13">
        <v>0</v>
      </c>
      <c r="S271" s="13">
        <v>0</v>
      </c>
      <c r="T271" s="28"/>
      <c r="U271" s="37">
        <f>SUM(Table139159[[#This Row],[OPERATOR COST]:[UTILITIES]])*Table139159[[#This Row],[FREQUENCY   (TIMES PER YEAR)]]</f>
        <v>0</v>
      </c>
    </row>
    <row r="272" spans="1:21" hidden="1" x14ac:dyDescent="0.25">
      <c r="A272" s="98" t="str">
        <f>IF(Table139159[[#This Row],[QUANTITY]]&gt;0, "YES", "NO")</f>
        <v>NO</v>
      </c>
      <c r="B272" s="27" t="s">
        <v>391</v>
      </c>
      <c r="C272" s="12" t="s">
        <v>31</v>
      </c>
      <c r="D272" s="12" t="s">
        <v>76</v>
      </c>
      <c r="E272" s="12" t="s">
        <v>53</v>
      </c>
      <c r="F272" s="12" t="s">
        <v>53</v>
      </c>
      <c r="G272" s="103" t="s">
        <v>15</v>
      </c>
      <c r="H272" s="103" t="s">
        <v>12</v>
      </c>
      <c r="I272" s="103">
        <v>0</v>
      </c>
      <c r="J272" s="103">
        <f>IFERROR(VLOOKUP(Table139159[[#This Row],[WORK ORDER]], '1. BUILDING ASSET INVENTORY'!A:K, 10, FALSE),0)</f>
        <v>0</v>
      </c>
      <c r="K272" s="102" t="str">
        <f>IFERROR(VLOOKUP(Table139159[[#This Row],[WORK ORDER]], '1. BUILDING ASSET INVENTORY'!A:L, 11, FALSE),"")</f>
        <v/>
      </c>
      <c r="L272" s="109"/>
      <c r="M272" s="197"/>
      <c r="N272" s="109">
        <f>Table139159[[#This Row],[OPERATOR HOURS (BASE)]]+Table139159[[#This Row],[QUANTITY]]*Table139159[[#This Row],[OPERATOR HOURS (PER UNIT)]]</f>
        <v>0</v>
      </c>
      <c r="O272" s="36">
        <f>'TABLE OF CONTENTS'!$K$34</f>
        <v>37.5</v>
      </c>
      <c r="P272" s="36">
        <f>Table139159[[#This Row],[TOTAL OPERATOR HOURS]]*Table139159[[#This Row],[OPERATOR RATE]]</f>
        <v>0</v>
      </c>
      <c r="Q272" s="15">
        <v>0</v>
      </c>
      <c r="R272" s="13">
        <v>0</v>
      </c>
      <c r="S272" s="13">
        <v>0</v>
      </c>
      <c r="T272" s="28"/>
      <c r="U272" s="37">
        <f>SUM(Table139159[[#This Row],[OPERATOR COST]:[UTILITIES]])*Table139159[[#This Row],[FREQUENCY   (TIMES PER YEAR)]]</f>
        <v>0</v>
      </c>
    </row>
    <row r="273" spans="1:21" hidden="1" x14ac:dyDescent="0.25">
      <c r="A273" s="98" t="str">
        <f>IF(Table139159[[#This Row],[QUANTITY]]&gt;0, "YES", "NO")</f>
        <v>NO</v>
      </c>
      <c r="B273" s="27" t="s">
        <v>392</v>
      </c>
      <c r="C273" s="12" t="s">
        <v>31</v>
      </c>
      <c r="D273" s="12" t="s">
        <v>76</v>
      </c>
      <c r="E273" s="12" t="s">
        <v>53</v>
      </c>
      <c r="F273" s="12" t="s">
        <v>53</v>
      </c>
      <c r="G273" s="103" t="s">
        <v>15</v>
      </c>
      <c r="H273" s="103" t="s">
        <v>12</v>
      </c>
      <c r="I273" s="103">
        <v>0</v>
      </c>
      <c r="J273" s="103">
        <f>IFERROR(VLOOKUP(Table139159[[#This Row],[WORK ORDER]], '1. BUILDING ASSET INVENTORY'!A:K, 10, FALSE),0)</f>
        <v>0</v>
      </c>
      <c r="K273" s="102" t="str">
        <f>IFERROR(VLOOKUP(Table139159[[#This Row],[WORK ORDER]], '1. BUILDING ASSET INVENTORY'!A:L, 11, FALSE),"")</f>
        <v/>
      </c>
      <c r="L273" s="109"/>
      <c r="M273" s="197"/>
      <c r="N273" s="109">
        <f>Table139159[[#This Row],[OPERATOR HOURS (BASE)]]+Table139159[[#This Row],[QUANTITY]]*Table139159[[#This Row],[OPERATOR HOURS (PER UNIT)]]</f>
        <v>0</v>
      </c>
      <c r="O273" s="36">
        <f>'TABLE OF CONTENTS'!$K$34</f>
        <v>37.5</v>
      </c>
      <c r="P273" s="36">
        <f>Table139159[[#This Row],[TOTAL OPERATOR HOURS]]*Table139159[[#This Row],[OPERATOR RATE]]</f>
        <v>0</v>
      </c>
      <c r="Q273" s="15">
        <v>0</v>
      </c>
      <c r="R273" s="13">
        <v>0</v>
      </c>
      <c r="S273" s="13">
        <v>0</v>
      </c>
      <c r="T273" s="28"/>
      <c r="U273" s="37">
        <f>SUM(Table139159[[#This Row],[OPERATOR COST]:[UTILITIES]])*Table139159[[#This Row],[FREQUENCY   (TIMES PER YEAR)]]</f>
        <v>0</v>
      </c>
    </row>
    <row r="274" spans="1:21" hidden="1" x14ac:dyDescent="0.25">
      <c r="A274" s="98" t="str">
        <f>IF(Table139159[[#This Row],[QUANTITY]]&gt;0, "YES", "NO")</f>
        <v>NO</v>
      </c>
      <c r="B274" s="27" t="s">
        <v>852</v>
      </c>
      <c r="C274" s="12" t="s">
        <v>31</v>
      </c>
      <c r="D274" s="12" t="s">
        <v>77</v>
      </c>
      <c r="E274" s="12" t="s">
        <v>108</v>
      </c>
      <c r="F274" s="12" t="s">
        <v>548</v>
      </c>
      <c r="G274" s="103" t="s">
        <v>15</v>
      </c>
      <c r="H274" s="103" t="s">
        <v>12</v>
      </c>
      <c r="I274" s="103">
        <v>1</v>
      </c>
      <c r="J274" s="103">
        <f>IFERROR(VLOOKUP(Table139159[[#This Row],[WORK ORDER]], '1. BUILDING ASSET INVENTORY'!A:K, 10, FALSE),0)</f>
        <v>0</v>
      </c>
      <c r="K274" s="102" t="str">
        <f>IFERROR(VLOOKUP(Table139159[[#This Row],[WORK ORDER]], '1. BUILDING ASSET INVENTORY'!A:L, 11, FALSE),"")</f>
        <v>Each</v>
      </c>
      <c r="L274" s="109"/>
      <c r="M274" s="197">
        <v>2</v>
      </c>
      <c r="N274" s="109">
        <f>Table139159[[#This Row],[OPERATOR HOURS (BASE)]]+Table139159[[#This Row],[QUANTITY]]*Table139159[[#This Row],[OPERATOR HOURS (PER UNIT)]]</f>
        <v>0</v>
      </c>
      <c r="O274" s="36">
        <f>'TABLE OF CONTENTS'!$K$34</f>
        <v>37.5</v>
      </c>
      <c r="P274" s="36">
        <f>Table139159[[#This Row],[TOTAL OPERATOR HOURS]]*Table139159[[#This Row],[OPERATOR RATE]]</f>
        <v>0</v>
      </c>
      <c r="Q274" s="14">
        <f>PRODUCT(Table139159[[#This Row],[QUANTITY]],200)</f>
        <v>0</v>
      </c>
      <c r="R274" s="13">
        <v>0</v>
      </c>
      <c r="S274" s="13">
        <v>50</v>
      </c>
      <c r="T274" s="28"/>
      <c r="U274" s="37">
        <f>SUM(Table139159[[#This Row],[OPERATOR COST]:[UTILITIES]])*Table139159[[#This Row],[FREQUENCY   (TIMES PER YEAR)]]</f>
        <v>50</v>
      </c>
    </row>
    <row r="275" spans="1:21" x14ac:dyDescent="0.25">
      <c r="A275" s="98" t="str">
        <f>IF(Table139159[[#This Row],[QUANTITY]]&gt;0, "YES", "NO")</f>
        <v>NO</v>
      </c>
      <c r="B275" s="27" t="s">
        <v>853</v>
      </c>
      <c r="C275" s="12" t="s">
        <v>31</v>
      </c>
      <c r="D275" s="12" t="s">
        <v>77</v>
      </c>
      <c r="E275" s="12" t="s">
        <v>327</v>
      </c>
      <c r="F275" s="12" t="s">
        <v>328</v>
      </c>
      <c r="G275" s="103" t="s">
        <v>204</v>
      </c>
      <c r="H275" s="103" t="s">
        <v>12</v>
      </c>
      <c r="I275" s="103">
        <v>1</v>
      </c>
      <c r="J275" s="103">
        <f>IFERROR(VLOOKUP(Table139159[[#This Row],[WORK ORDER]], '1. BUILDING ASSET INVENTORY'!A:K, 10, FALSE),0)</f>
        <v>0</v>
      </c>
      <c r="K275" s="102" t="str">
        <f>IFERROR(VLOOKUP(Table139159[[#This Row],[WORK ORDER]], '1. BUILDING ASSET INVENTORY'!A:L, 11, FALSE),"")</f>
        <v>Each</v>
      </c>
      <c r="L275" s="109">
        <v>1</v>
      </c>
      <c r="M275" s="197">
        <v>2</v>
      </c>
      <c r="N275" s="109">
        <f>Table139159[[#This Row],[OPERATOR HOURS (BASE)]]+Table139159[[#This Row],[QUANTITY]]*Table139159[[#This Row],[OPERATOR HOURS (PER UNIT)]]</f>
        <v>1</v>
      </c>
      <c r="O275" s="36">
        <f>'TABLE OF CONTENTS'!$K$34</f>
        <v>37.5</v>
      </c>
      <c r="P275" s="36">
        <f>Table139159[[#This Row],[TOTAL OPERATOR HOURS]]*Table139159[[#This Row],[OPERATOR RATE]]</f>
        <v>37.5</v>
      </c>
      <c r="Q275" s="14">
        <f>PRODUCT(Table139159[[#This Row],[QUANTITY]],50)</f>
        <v>0</v>
      </c>
      <c r="R275" s="13">
        <v>0</v>
      </c>
      <c r="S275" s="13">
        <v>0</v>
      </c>
      <c r="T275" s="28"/>
      <c r="U275" s="37">
        <f>SUM(Table139159[[#This Row],[OPERATOR COST]:[UTILITIES]])*Table139159[[#This Row],[FREQUENCY   (TIMES PER YEAR)]]</f>
        <v>37.5</v>
      </c>
    </row>
    <row r="276" spans="1:21" hidden="1" x14ac:dyDescent="0.25">
      <c r="A276" s="98" t="str">
        <f>IF(Table139159[[#This Row],[QUANTITY]]&gt;0, "YES", "NO")</f>
        <v>NO</v>
      </c>
      <c r="B276" s="27" t="s">
        <v>936</v>
      </c>
      <c r="C276" s="12" t="s">
        <v>31</v>
      </c>
      <c r="D276" s="12" t="s">
        <v>77</v>
      </c>
      <c r="E276" s="12" t="s">
        <v>53</v>
      </c>
      <c r="F276" s="12" t="s">
        <v>53</v>
      </c>
      <c r="G276" s="103" t="s">
        <v>15</v>
      </c>
      <c r="H276" s="103" t="s">
        <v>12</v>
      </c>
      <c r="I276" s="103">
        <v>0</v>
      </c>
      <c r="J276" s="103">
        <f>IFERROR(VLOOKUP(Table139159[[#This Row],[WORK ORDER]], '1. BUILDING ASSET INVENTORY'!A:K, 10, FALSE),0)</f>
        <v>0</v>
      </c>
      <c r="K276" s="102" t="str">
        <f>IFERROR(VLOOKUP(Table139159[[#This Row],[WORK ORDER]], '1. BUILDING ASSET INVENTORY'!A:L, 11, FALSE),"")</f>
        <v/>
      </c>
      <c r="L276" s="109"/>
      <c r="M276" s="197"/>
      <c r="N276" s="109">
        <f>Table139159[[#This Row],[OPERATOR HOURS (BASE)]]+Table139159[[#This Row],[QUANTITY]]*Table139159[[#This Row],[OPERATOR HOURS (PER UNIT)]]</f>
        <v>0</v>
      </c>
      <c r="O276" s="36">
        <f>'TABLE OF CONTENTS'!$K$34</f>
        <v>37.5</v>
      </c>
      <c r="P276" s="36">
        <f>Table139159[[#This Row],[TOTAL OPERATOR HOURS]]*Table139159[[#This Row],[OPERATOR RATE]]</f>
        <v>0</v>
      </c>
      <c r="Q276" s="14">
        <v>0</v>
      </c>
      <c r="R276" s="13">
        <v>0</v>
      </c>
      <c r="S276" s="13">
        <v>0</v>
      </c>
      <c r="T276" s="28"/>
      <c r="U276" s="37">
        <f>SUM(Table139159[[#This Row],[OPERATOR COST]:[UTILITIES]])*Table139159[[#This Row],[FREQUENCY   (TIMES PER YEAR)]]</f>
        <v>0</v>
      </c>
    </row>
    <row r="277" spans="1:21" hidden="1" x14ac:dyDescent="0.25">
      <c r="A277" s="98" t="str">
        <f>IF(Table139159[[#This Row],[QUANTITY]]&gt;0, "YES", "NO")</f>
        <v>NO</v>
      </c>
      <c r="B277" s="27" t="s">
        <v>935</v>
      </c>
      <c r="C277" s="12" t="s">
        <v>31</v>
      </c>
      <c r="D277" s="12" t="s">
        <v>77</v>
      </c>
      <c r="E277" s="12" t="s">
        <v>53</v>
      </c>
      <c r="F277" s="12" t="s">
        <v>53</v>
      </c>
      <c r="G277" s="103" t="s">
        <v>15</v>
      </c>
      <c r="H277" s="103" t="s">
        <v>12</v>
      </c>
      <c r="I277" s="103">
        <v>0</v>
      </c>
      <c r="J277" s="103">
        <f>IFERROR(VLOOKUP(Table139159[[#This Row],[WORK ORDER]], '1. BUILDING ASSET INVENTORY'!A:K, 10, FALSE),0)</f>
        <v>0</v>
      </c>
      <c r="K277" s="102" t="str">
        <f>IFERROR(VLOOKUP(Table139159[[#This Row],[WORK ORDER]], '1. BUILDING ASSET INVENTORY'!A:L, 11, FALSE),"")</f>
        <v/>
      </c>
      <c r="L277" s="109"/>
      <c r="M277" s="197"/>
      <c r="N277" s="109">
        <f>Table139159[[#This Row],[OPERATOR HOURS (BASE)]]+Table139159[[#This Row],[QUANTITY]]*Table139159[[#This Row],[OPERATOR HOURS (PER UNIT)]]</f>
        <v>0</v>
      </c>
      <c r="O277" s="36">
        <f>'TABLE OF CONTENTS'!$K$34</f>
        <v>37.5</v>
      </c>
      <c r="P277" s="36">
        <f>Table139159[[#This Row],[TOTAL OPERATOR HOURS]]*Table139159[[#This Row],[OPERATOR RATE]]</f>
        <v>0</v>
      </c>
      <c r="Q277" s="14">
        <v>0</v>
      </c>
      <c r="R277" s="13">
        <v>0</v>
      </c>
      <c r="S277" s="13">
        <v>0</v>
      </c>
      <c r="T277" s="28"/>
      <c r="U277" s="37">
        <f>SUM(Table139159[[#This Row],[OPERATOR COST]:[UTILITIES]])*Table139159[[#This Row],[FREQUENCY   (TIMES PER YEAR)]]</f>
        <v>0</v>
      </c>
    </row>
    <row r="278" spans="1:21" hidden="1" x14ac:dyDescent="0.25">
      <c r="A278" s="98" t="str">
        <f>IF(Table139159[[#This Row],[QUANTITY]]&gt;0, "YES", "NO")</f>
        <v>NO</v>
      </c>
      <c r="B278" s="27" t="s">
        <v>934</v>
      </c>
      <c r="C278" s="12" t="s">
        <v>31</v>
      </c>
      <c r="D278" s="12" t="s">
        <v>77</v>
      </c>
      <c r="E278" s="12" t="s">
        <v>53</v>
      </c>
      <c r="F278" s="12" t="s">
        <v>53</v>
      </c>
      <c r="G278" s="103" t="s">
        <v>15</v>
      </c>
      <c r="H278" s="103" t="s">
        <v>12</v>
      </c>
      <c r="I278" s="103">
        <v>0</v>
      </c>
      <c r="J278" s="103">
        <f>IFERROR(VLOOKUP(Table139159[[#This Row],[WORK ORDER]], '1. BUILDING ASSET INVENTORY'!A:K, 10, FALSE),0)</f>
        <v>0</v>
      </c>
      <c r="K278" s="102" t="str">
        <f>IFERROR(VLOOKUP(Table139159[[#This Row],[WORK ORDER]], '1. BUILDING ASSET INVENTORY'!A:L, 11, FALSE),"")</f>
        <v/>
      </c>
      <c r="L278" s="109"/>
      <c r="M278" s="197"/>
      <c r="N278" s="109">
        <f>Table139159[[#This Row],[OPERATOR HOURS (BASE)]]+Table139159[[#This Row],[QUANTITY]]*Table139159[[#This Row],[OPERATOR HOURS (PER UNIT)]]</f>
        <v>0</v>
      </c>
      <c r="O278" s="36">
        <f>'TABLE OF CONTENTS'!$K$34</f>
        <v>37.5</v>
      </c>
      <c r="P278" s="36">
        <f>Table139159[[#This Row],[TOTAL OPERATOR HOURS]]*Table139159[[#This Row],[OPERATOR RATE]]</f>
        <v>0</v>
      </c>
      <c r="Q278" s="14">
        <v>0</v>
      </c>
      <c r="R278" s="13">
        <v>0</v>
      </c>
      <c r="S278" s="13">
        <v>0</v>
      </c>
      <c r="T278" s="28"/>
      <c r="U278" s="37">
        <f>SUM(Table139159[[#This Row],[OPERATOR COST]:[UTILITIES]])*Table139159[[#This Row],[FREQUENCY   (TIMES PER YEAR)]]</f>
        <v>0</v>
      </c>
    </row>
    <row r="279" spans="1:21" hidden="1" x14ac:dyDescent="0.25">
      <c r="A279" s="98" t="str">
        <f>IF(Table139159[[#This Row],[QUANTITY]]&gt;0, "YES", "NO")</f>
        <v>NO</v>
      </c>
      <c r="B279" s="27" t="s">
        <v>933</v>
      </c>
      <c r="C279" s="12" t="s">
        <v>31</v>
      </c>
      <c r="D279" s="12" t="s">
        <v>77</v>
      </c>
      <c r="E279" s="12" t="s">
        <v>53</v>
      </c>
      <c r="F279" s="12" t="s">
        <v>53</v>
      </c>
      <c r="G279" s="103" t="s">
        <v>15</v>
      </c>
      <c r="H279" s="103" t="s">
        <v>12</v>
      </c>
      <c r="I279" s="103">
        <v>0</v>
      </c>
      <c r="J279" s="103">
        <f>IFERROR(VLOOKUP(Table139159[[#This Row],[WORK ORDER]], '1. BUILDING ASSET INVENTORY'!A:K, 10, FALSE),0)</f>
        <v>0</v>
      </c>
      <c r="K279" s="102" t="str">
        <f>IFERROR(VLOOKUP(Table139159[[#This Row],[WORK ORDER]], '1. BUILDING ASSET INVENTORY'!A:L, 11, FALSE),"")</f>
        <v/>
      </c>
      <c r="L279" s="109"/>
      <c r="M279" s="197"/>
      <c r="N279" s="109">
        <f>Table139159[[#This Row],[OPERATOR HOURS (BASE)]]+Table139159[[#This Row],[QUANTITY]]*Table139159[[#This Row],[OPERATOR HOURS (PER UNIT)]]</f>
        <v>0</v>
      </c>
      <c r="O279" s="36">
        <f>'TABLE OF CONTENTS'!$K$34</f>
        <v>37.5</v>
      </c>
      <c r="P279" s="36">
        <f>Table139159[[#This Row],[TOTAL OPERATOR HOURS]]*Table139159[[#This Row],[OPERATOR RATE]]</f>
        <v>0</v>
      </c>
      <c r="Q279" s="14">
        <v>0</v>
      </c>
      <c r="R279" s="13">
        <v>0</v>
      </c>
      <c r="S279" s="13">
        <v>0</v>
      </c>
      <c r="T279" s="28"/>
      <c r="U279" s="37">
        <f>SUM(Table139159[[#This Row],[OPERATOR COST]:[UTILITIES]])*Table139159[[#This Row],[FREQUENCY   (TIMES PER YEAR)]]</f>
        <v>0</v>
      </c>
    </row>
    <row r="280" spans="1:21" x14ac:dyDescent="0.25">
      <c r="A280" s="98" t="str">
        <f>IF(Table139159[[#This Row],[QUANTITY]]&gt;0, "YES", "NO")</f>
        <v>NO</v>
      </c>
      <c r="B280" s="27" t="s">
        <v>854</v>
      </c>
      <c r="C280" s="12" t="s">
        <v>31</v>
      </c>
      <c r="D280" s="12" t="s">
        <v>78</v>
      </c>
      <c r="E280" s="12" t="s">
        <v>106</v>
      </c>
      <c r="F280" s="12" t="s">
        <v>323</v>
      </c>
      <c r="G280" s="103" t="s">
        <v>204</v>
      </c>
      <c r="H280" s="103" t="s">
        <v>8</v>
      </c>
      <c r="I280" s="103">
        <v>1</v>
      </c>
      <c r="J280" s="103">
        <f>IFERROR(VLOOKUP(Table139159[[#This Row],[WORK ORDER]], '1. BUILDING ASSET INVENTORY'!A:K, 10, FALSE),0)</f>
        <v>0</v>
      </c>
      <c r="K280" s="102" t="str">
        <f>IFERROR(VLOOKUP(Table139159[[#This Row],[WORK ORDER]], '1. BUILDING ASSET INVENTORY'!A:L, 11, FALSE),"")</f>
        <v>Each</v>
      </c>
      <c r="L280" s="109">
        <v>1</v>
      </c>
      <c r="M280" s="197">
        <v>4</v>
      </c>
      <c r="N280" s="109">
        <f>Table139159[[#This Row],[OPERATOR HOURS (BASE)]]+Table139159[[#This Row],[QUANTITY]]*Table139159[[#This Row],[OPERATOR HOURS (PER UNIT)]]</f>
        <v>1</v>
      </c>
      <c r="O280" s="36">
        <f>'TABLE OF CONTENTS'!$K$34</f>
        <v>37.5</v>
      </c>
      <c r="P280" s="36">
        <f>Table139159[[#This Row],[TOTAL OPERATOR HOURS]]*Table139159[[#This Row],[OPERATOR RATE]]</f>
        <v>37.5</v>
      </c>
      <c r="Q280" s="14">
        <f>PRODUCT(Table139159[[#This Row],[QUANTITY]],100)</f>
        <v>0</v>
      </c>
      <c r="R280" s="13">
        <v>0</v>
      </c>
      <c r="S280" s="13">
        <v>0</v>
      </c>
      <c r="T280" s="28"/>
      <c r="U280" s="37">
        <f>SUM(Table139159[[#This Row],[OPERATOR COST]:[UTILITIES]])*Table139159[[#This Row],[FREQUENCY   (TIMES PER YEAR)]]</f>
        <v>37.5</v>
      </c>
    </row>
    <row r="281" spans="1:21" x14ac:dyDescent="0.25">
      <c r="A281" s="98" t="str">
        <f>IF(Table139159[[#This Row],[QUANTITY]]&gt;0, "YES", "NO")</f>
        <v>NO</v>
      </c>
      <c r="B281" s="27" t="s">
        <v>855</v>
      </c>
      <c r="C281" s="12" t="s">
        <v>31</v>
      </c>
      <c r="D281" s="12" t="s">
        <v>78</v>
      </c>
      <c r="E281" s="12" t="s">
        <v>107</v>
      </c>
      <c r="F281" s="12" t="s">
        <v>324</v>
      </c>
      <c r="G281" s="103" t="s">
        <v>204</v>
      </c>
      <c r="H281" s="103" t="s">
        <v>8</v>
      </c>
      <c r="I281" s="103">
        <v>1</v>
      </c>
      <c r="J281" s="103">
        <f>IFERROR(VLOOKUP(Table139159[[#This Row],[WORK ORDER]], '1. BUILDING ASSET INVENTORY'!A:K, 10, FALSE),0)</f>
        <v>0</v>
      </c>
      <c r="K281" s="102" t="str">
        <f>IFERROR(VLOOKUP(Table139159[[#This Row],[WORK ORDER]], '1. BUILDING ASSET INVENTORY'!A:L, 11, FALSE),"")</f>
        <v>Each</v>
      </c>
      <c r="L281" s="109">
        <v>1</v>
      </c>
      <c r="M281" s="197">
        <v>4</v>
      </c>
      <c r="N281" s="109">
        <f>Table139159[[#This Row],[OPERATOR HOURS (BASE)]]+Table139159[[#This Row],[QUANTITY]]*Table139159[[#This Row],[OPERATOR HOURS (PER UNIT)]]</f>
        <v>1</v>
      </c>
      <c r="O281" s="36">
        <f>'TABLE OF CONTENTS'!$K$34</f>
        <v>37.5</v>
      </c>
      <c r="P281" s="36">
        <f>Table139159[[#This Row],[TOTAL OPERATOR HOURS]]*Table139159[[#This Row],[OPERATOR RATE]]</f>
        <v>37.5</v>
      </c>
      <c r="Q281" s="14">
        <f>PRODUCT(Table139159[[#This Row],[QUANTITY]],100)</f>
        <v>0</v>
      </c>
      <c r="R281" s="13">
        <v>0</v>
      </c>
      <c r="S281" s="13">
        <v>0</v>
      </c>
      <c r="T281" s="28"/>
      <c r="U281" s="37">
        <f>SUM(Table139159[[#This Row],[OPERATOR COST]:[UTILITIES]])*Table139159[[#This Row],[FREQUENCY   (TIMES PER YEAR)]]</f>
        <v>37.5</v>
      </c>
    </row>
    <row r="282" spans="1:21" hidden="1" x14ac:dyDescent="0.25">
      <c r="A282" s="98" t="str">
        <f>IF(Table139159[[#This Row],[QUANTITY]]&gt;0, "YES", "NO")</f>
        <v>NO</v>
      </c>
      <c r="B282" s="27" t="s">
        <v>932</v>
      </c>
      <c r="C282" s="12" t="s">
        <v>31</v>
      </c>
      <c r="D282" s="12" t="s">
        <v>78</v>
      </c>
      <c r="E282" s="12" t="s">
        <v>53</v>
      </c>
      <c r="F282" s="12" t="s">
        <v>53</v>
      </c>
      <c r="G282" s="103" t="s">
        <v>15</v>
      </c>
      <c r="H282" s="103" t="s">
        <v>12</v>
      </c>
      <c r="I282" s="103">
        <v>0</v>
      </c>
      <c r="J282" s="103">
        <f>IFERROR(VLOOKUP(Table139159[[#This Row],[WORK ORDER]], '1. BUILDING ASSET INVENTORY'!A:K, 10, FALSE),0)</f>
        <v>0</v>
      </c>
      <c r="K282" s="102" t="str">
        <f>IFERROR(VLOOKUP(Table139159[[#This Row],[WORK ORDER]], '1. BUILDING ASSET INVENTORY'!A:L, 11, FALSE),"")</f>
        <v/>
      </c>
      <c r="L282" s="109"/>
      <c r="M282" s="197"/>
      <c r="N282" s="109">
        <f>Table139159[[#This Row],[OPERATOR HOURS (BASE)]]+Table139159[[#This Row],[QUANTITY]]*Table139159[[#This Row],[OPERATOR HOURS (PER UNIT)]]</f>
        <v>0</v>
      </c>
      <c r="O282" s="36">
        <f>'TABLE OF CONTENTS'!$K$34</f>
        <v>37.5</v>
      </c>
      <c r="P282" s="36">
        <f>Table139159[[#This Row],[TOTAL OPERATOR HOURS]]*Table139159[[#This Row],[OPERATOR RATE]]</f>
        <v>0</v>
      </c>
      <c r="Q282" s="15">
        <v>0</v>
      </c>
      <c r="R282" s="13">
        <v>0</v>
      </c>
      <c r="S282" s="13">
        <v>0</v>
      </c>
      <c r="T282" s="28"/>
      <c r="U282" s="37">
        <f>SUM(Table139159[[#This Row],[OPERATOR COST]:[UTILITIES]])*Table139159[[#This Row],[FREQUENCY   (TIMES PER YEAR)]]</f>
        <v>0</v>
      </c>
    </row>
    <row r="283" spans="1:21" hidden="1" x14ac:dyDescent="0.25">
      <c r="A283" s="98" t="str">
        <f>IF(Table139159[[#This Row],[QUANTITY]]&gt;0, "YES", "NO")</f>
        <v>NO</v>
      </c>
      <c r="B283" s="27" t="s">
        <v>931</v>
      </c>
      <c r="C283" s="12" t="s">
        <v>31</v>
      </c>
      <c r="D283" s="12" t="s">
        <v>78</v>
      </c>
      <c r="E283" s="12" t="s">
        <v>53</v>
      </c>
      <c r="F283" s="12" t="s">
        <v>53</v>
      </c>
      <c r="G283" s="103" t="s">
        <v>15</v>
      </c>
      <c r="H283" s="103" t="s">
        <v>12</v>
      </c>
      <c r="I283" s="103">
        <v>0</v>
      </c>
      <c r="J283" s="103">
        <f>IFERROR(VLOOKUP(Table139159[[#This Row],[WORK ORDER]], '1. BUILDING ASSET INVENTORY'!A:K, 10, FALSE),0)</f>
        <v>0</v>
      </c>
      <c r="K283" s="102" t="str">
        <f>IFERROR(VLOOKUP(Table139159[[#This Row],[WORK ORDER]], '1. BUILDING ASSET INVENTORY'!A:L, 11, FALSE),"")</f>
        <v/>
      </c>
      <c r="L283" s="109"/>
      <c r="M283" s="197"/>
      <c r="N283" s="109">
        <f>Table139159[[#This Row],[OPERATOR HOURS (BASE)]]+Table139159[[#This Row],[QUANTITY]]*Table139159[[#This Row],[OPERATOR HOURS (PER UNIT)]]</f>
        <v>0</v>
      </c>
      <c r="O283" s="36">
        <f>'TABLE OF CONTENTS'!$K$34</f>
        <v>37.5</v>
      </c>
      <c r="P283" s="36">
        <f>Table139159[[#This Row],[TOTAL OPERATOR HOURS]]*Table139159[[#This Row],[OPERATOR RATE]]</f>
        <v>0</v>
      </c>
      <c r="Q283" s="14">
        <v>0</v>
      </c>
      <c r="R283" s="13">
        <v>0</v>
      </c>
      <c r="S283" s="13">
        <v>0</v>
      </c>
      <c r="T283" s="28"/>
      <c r="U283" s="37">
        <f>SUM(Table139159[[#This Row],[OPERATOR COST]:[UTILITIES]])*Table139159[[#This Row],[FREQUENCY   (TIMES PER YEAR)]]</f>
        <v>0</v>
      </c>
    </row>
    <row r="284" spans="1:21" hidden="1" x14ac:dyDescent="0.25">
      <c r="A284" s="98" t="str">
        <f>IF(Table139159[[#This Row],[QUANTITY]]&gt;0, "YES", "NO")</f>
        <v>NO</v>
      </c>
      <c r="B284" s="27" t="s">
        <v>930</v>
      </c>
      <c r="C284" s="12" t="s">
        <v>31</v>
      </c>
      <c r="D284" s="12" t="s">
        <v>78</v>
      </c>
      <c r="E284" s="12" t="s">
        <v>53</v>
      </c>
      <c r="F284" s="12" t="s">
        <v>53</v>
      </c>
      <c r="G284" s="103" t="s">
        <v>15</v>
      </c>
      <c r="H284" s="103" t="s">
        <v>12</v>
      </c>
      <c r="I284" s="103">
        <v>0</v>
      </c>
      <c r="J284" s="103">
        <f>IFERROR(VLOOKUP(Table139159[[#This Row],[WORK ORDER]], '1. BUILDING ASSET INVENTORY'!A:K, 10, FALSE),0)</f>
        <v>0</v>
      </c>
      <c r="K284" s="102" t="str">
        <f>IFERROR(VLOOKUP(Table139159[[#This Row],[WORK ORDER]], '1. BUILDING ASSET INVENTORY'!A:L, 11, FALSE),"")</f>
        <v/>
      </c>
      <c r="L284" s="109"/>
      <c r="M284" s="197"/>
      <c r="N284" s="109">
        <f>Table139159[[#This Row],[OPERATOR HOURS (BASE)]]+Table139159[[#This Row],[QUANTITY]]*Table139159[[#This Row],[OPERATOR HOURS (PER UNIT)]]</f>
        <v>0</v>
      </c>
      <c r="O284" s="36">
        <f>'TABLE OF CONTENTS'!$K$34</f>
        <v>37.5</v>
      </c>
      <c r="P284" s="36">
        <f>Table139159[[#This Row],[TOTAL OPERATOR HOURS]]*Table139159[[#This Row],[OPERATOR RATE]]</f>
        <v>0</v>
      </c>
      <c r="Q284" s="14">
        <v>0</v>
      </c>
      <c r="R284" s="13">
        <v>0</v>
      </c>
      <c r="S284" s="13">
        <v>0</v>
      </c>
      <c r="T284" s="28"/>
      <c r="U284" s="37">
        <f>SUM(Table139159[[#This Row],[OPERATOR COST]:[UTILITIES]])*Table139159[[#This Row],[FREQUENCY   (TIMES PER YEAR)]]</f>
        <v>0</v>
      </c>
    </row>
    <row r="285" spans="1:21" hidden="1" x14ac:dyDescent="0.25">
      <c r="A285" s="98" t="str">
        <f>IF(Table139159[[#This Row],[QUANTITY]]&gt;0, "YES", "NO")</f>
        <v>NO</v>
      </c>
      <c r="B285" s="27" t="s">
        <v>929</v>
      </c>
      <c r="C285" s="12" t="s">
        <v>31</v>
      </c>
      <c r="D285" s="12" t="s">
        <v>78</v>
      </c>
      <c r="E285" s="12" t="s">
        <v>53</v>
      </c>
      <c r="F285" s="12" t="s">
        <v>53</v>
      </c>
      <c r="G285" s="103" t="s">
        <v>15</v>
      </c>
      <c r="H285" s="103" t="s">
        <v>12</v>
      </c>
      <c r="I285" s="103">
        <v>0</v>
      </c>
      <c r="J285" s="103">
        <f>IFERROR(VLOOKUP(Table139159[[#This Row],[WORK ORDER]], '1. BUILDING ASSET INVENTORY'!A:K, 10, FALSE),0)</f>
        <v>0</v>
      </c>
      <c r="K285" s="102" t="str">
        <f>IFERROR(VLOOKUP(Table139159[[#This Row],[WORK ORDER]], '1. BUILDING ASSET INVENTORY'!A:L, 11, FALSE),"")</f>
        <v/>
      </c>
      <c r="L285" s="109"/>
      <c r="M285" s="197"/>
      <c r="N285" s="109">
        <f>Table139159[[#This Row],[OPERATOR HOURS (BASE)]]+Table139159[[#This Row],[QUANTITY]]*Table139159[[#This Row],[OPERATOR HOURS (PER UNIT)]]</f>
        <v>0</v>
      </c>
      <c r="O285" s="36">
        <f>'TABLE OF CONTENTS'!$K$34</f>
        <v>37.5</v>
      </c>
      <c r="P285" s="36">
        <f>Table139159[[#This Row],[TOTAL OPERATOR HOURS]]*Table139159[[#This Row],[OPERATOR RATE]]</f>
        <v>0</v>
      </c>
      <c r="Q285" s="14">
        <v>0</v>
      </c>
      <c r="R285" s="13">
        <v>0</v>
      </c>
      <c r="S285" s="13">
        <v>0</v>
      </c>
      <c r="T285" s="28"/>
      <c r="U285" s="37">
        <f>SUM(Table139159[[#This Row],[OPERATOR COST]:[UTILITIES]])*Table139159[[#This Row],[FREQUENCY   (TIMES PER YEAR)]]</f>
        <v>0</v>
      </c>
    </row>
    <row r="286" spans="1:21" x14ac:dyDescent="0.25">
      <c r="A286" s="98" t="str">
        <f>IF(Table139159[[#This Row],[QUANTITY]]&gt;0, "YES", "NO")</f>
        <v>NO</v>
      </c>
      <c r="B286" s="27" t="s">
        <v>856</v>
      </c>
      <c r="C286" s="12" t="s">
        <v>31</v>
      </c>
      <c r="D286" s="12" t="s">
        <v>79</v>
      </c>
      <c r="E286" s="12" t="s">
        <v>119</v>
      </c>
      <c r="F286" s="12" t="s">
        <v>325</v>
      </c>
      <c r="G286" s="103" t="s">
        <v>204</v>
      </c>
      <c r="H286" s="103" t="s">
        <v>8</v>
      </c>
      <c r="I286" s="103">
        <v>1</v>
      </c>
      <c r="J286" s="103">
        <f>IFERROR(VLOOKUP(Table139159[[#This Row],[WORK ORDER]], '1. BUILDING ASSET INVENTORY'!A:K, 10, FALSE),0)</f>
        <v>0</v>
      </c>
      <c r="K286" s="102" t="str">
        <f>IFERROR(VLOOKUP(Table139159[[#This Row],[WORK ORDER]], '1. BUILDING ASSET INVENTORY'!A:L, 11, FALSE),"")</f>
        <v>Each</v>
      </c>
      <c r="L286" s="109">
        <v>1</v>
      </c>
      <c r="M286" s="197">
        <v>4</v>
      </c>
      <c r="N286" s="109">
        <f>Table139159[[#This Row],[OPERATOR HOURS (BASE)]]+Table139159[[#This Row],[QUANTITY]]*Table139159[[#This Row],[OPERATOR HOURS (PER UNIT)]]</f>
        <v>1</v>
      </c>
      <c r="O286" s="36">
        <f>'TABLE OF CONTENTS'!$K$34</f>
        <v>37.5</v>
      </c>
      <c r="P286" s="36">
        <f>Table139159[[#This Row],[TOTAL OPERATOR HOURS]]*Table139159[[#This Row],[OPERATOR RATE]]</f>
        <v>37.5</v>
      </c>
      <c r="Q286" s="14">
        <f>PRODUCT(Table139159[[#This Row],[QUANTITY]],100)</f>
        <v>0</v>
      </c>
      <c r="R286" s="13">
        <v>0</v>
      </c>
      <c r="S286" s="13">
        <v>0</v>
      </c>
      <c r="T286" s="28"/>
      <c r="U286" s="37">
        <f>SUM(Table139159[[#This Row],[OPERATOR COST]:[UTILITIES]])*Table139159[[#This Row],[FREQUENCY   (TIMES PER YEAR)]]</f>
        <v>37.5</v>
      </c>
    </row>
    <row r="287" spans="1:21" x14ac:dyDescent="0.25">
      <c r="A287" s="98" t="str">
        <f>IF(Table139159[[#This Row],[QUANTITY]]&gt;0, "YES", "NO")</f>
        <v>NO</v>
      </c>
      <c r="B287" s="27" t="s">
        <v>857</v>
      </c>
      <c r="C287" s="12" t="s">
        <v>31</v>
      </c>
      <c r="D287" s="12" t="s">
        <v>79</v>
      </c>
      <c r="E287" s="12" t="s">
        <v>119</v>
      </c>
      <c r="F287" s="12" t="s">
        <v>374</v>
      </c>
      <c r="G287" s="103" t="s">
        <v>204</v>
      </c>
      <c r="H287" s="103" t="s">
        <v>10</v>
      </c>
      <c r="I287" s="103">
        <v>12</v>
      </c>
      <c r="J287" s="103">
        <f>IFERROR(VLOOKUP(Table139159[[#This Row],[WORK ORDER]], '1. BUILDING ASSET INVENTORY'!A:K, 10, FALSE),0)</f>
        <v>0</v>
      </c>
      <c r="K287" s="102" t="str">
        <f>IFERROR(VLOOKUP(Table139159[[#This Row],[WORK ORDER]], '1. BUILDING ASSET INVENTORY'!A:L, 11, FALSE),"")</f>
        <v>Each</v>
      </c>
      <c r="L287" s="109">
        <v>1</v>
      </c>
      <c r="M287" s="197">
        <v>2</v>
      </c>
      <c r="N287" s="109">
        <f>Table139159[[#This Row],[OPERATOR HOURS (BASE)]]+Table139159[[#This Row],[QUANTITY]]*Table139159[[#This Row],[OPERATOR HOURS (PER UNIT)]]</f>
        <v>1</v>
      </c>
      <c r="O287" s="36">
        <f>'TABLE OF CONTENTS'!$K$34</f>
        <v>37.5</v>
      </c>
      <c r="P287" s="36">
        <f>Table139159[[#This Row],[TOTAL OPERATOR HOURS]]*Table139159[[#This Row],[OPERATOR RATE]]</f>
        <v>37.5</v>
      </c>
      <c r="Q287" s="15">
        <v>0</v>
      </c>
      <c r="R287" s="13">
        <v>0</v>
      </c>
      <c r="S287" s="13">
        <v>0</v>
      </c>
      <c r="T287" s="28"/>
      <c r="U287" s="37">
        <f>SUM(Table139159[[#This Row],[OPERATOR COST]:[UTILITIES]])*Table139159[[#This Row],[FREQUENCY   (TIMES PER YEAR)]]</f>
        <v>450</v>
      </c>
    </row>
    <row r="288" spans="1:21" ht="30" x14ac:dyDescent="0.25">
      <c r="A288" s="98" t="str">
        <f>IF(Table139159[[#This Row],[QUANTITY]]&gt;0, "YES", "NO")</f>
        <v>NO</v>
      </c>
      <c r="B288" s="27" t="s">
        <v>858</v>
      </c>
      <c r="C288" s="12" t="s">
        <v>31</v>
      </c>
      <c r="D288" s="12" t="s">
        <v>79</v>
      </c>
      <c r="E288" s="12" t="s">
        <v>119</v>
      </c>
      <c r="F288" s="12" t="s">
        <v>326</v>
      </c>
      <c r="G288" s="103" t="s">
        <v>204</v>
      </c>
      <c r="H288" s="103" t="s">
        <v>11</v>
      </c>
      <c r="I288" s="103">
        <v>4</v>
      </c>
      <c r="J288" s="103">
        <f>IFERROR(VLOOKUP(Table139159[[#This Row],[WORK ORDER]], '1. BUILDING ASSET INVENTORY'!A:K, 10, FALSE),0)</f>
        <v>0</v>
      </c>
      <c r="K288" s="102" t="str">
        <f>IFERROR(VLOOKUP(Table139159[[#This Row],[WORK ORDER]], '1. BUILDING ASSET INVENTORY'!A:L, 11, FALSE),"")</f>
        <v>Enter Monthly Charge or 0 if N/A</v>
      </c>
      <c r="L288" s="109">
        <v>1</v>
      </c>
      <c r="M288" s="197">
        <v>1</v>
      </c>
      <c r="N288" s="109">
        <f>Table139159[[#This Row],[OPERATOR HOURS (BASE)]]+Table139159[[#This Row],[QUANTITY]]*Table139159[[#This Row],[OPERATOR HOURS (PER UNIT)]]</f>
        <v>1</v>
      </c>
      <c r="O288" s="36">
        <f>'TABLE OF CONTENTS'!$K$34</f>
        <v>37.5</v>
      </c>
      <c r="P288" s="36">
        <f>Table139159[[#This Row],[TOTAL OPERATOR HOURS]]*Table139159[[#This Row],[OPERATOR RATE]]</f>
        <v>37.5</v>
      </c>
      <c r="Q288" s="15">
        <v>0</v>
      </c>
      <c r="R288" s="13">
        <v>0</v>
      </c>
      <c r="S288" s="13">
        <v>1000</v>
      </c>
      <c r="T288" s="28"/>
      <c r="U288" s="37">
        <f>SUM(Table139159[[#This Row],[OPERATOR COST]:[UTILITIES]])*Table139159[[#This Row],[FREQUENCY   (TIMES PER YEAR)]]</f>
        <v>4150</v>
      </c>
    </row>
    <row r="289" spans="1:21" hidden="1" x14ac:dyDescent="0.25">
      <c r="A289" s="98" t="str">
        <f>IF(Table139159[[#This Row],[QUANTITY]]&gt;0, "YES", "NO")</f>
        <v>NO</v>
      </c>
      <c r="B289" s="27" t="s">
        <v>928</v>
      </c>
      <c r="C289" s="12" t="s">
        <v>31</v>
      </c>
      <c r="D289" s="12" t="s">
        <v>79</v>
      </c>
      <c r="E289" s="12" t="s">
        <v>53</v>
      </c>
      <c r="F289" s="12" t="s">
        <v>53</v>
      </c>
      <c r="G289" s="103" t="s">
        <v>15</v>
      </c>
      <c r="H289" s="103" t="s">
        <v>12</v>
      </c>
      <c r="I289" s="103">
        <v>0</v>
      </c>
      <c r="J289" s="103">
        <f>IFERROR(VLOOKUP(Table139159[[#This Row],[WORK ORDER]], '1. BUILDING ASSET INVENTORY'!A:K, 10, FALSE),0)</f>
        <v>0</v>
      </c>
      <c r="K289" s="102" t="str">
        <f>IFERROR(VLOOKUP(Table139159[[#This Row],[WORK ORDER]], '1. BUILDING ASSET INVENTORY'!A:L, 11, FALSE),"")</f>
        <v/>
      </c>
      <c r="L289" s="109"/>
      <c r="M289" s="197"/>
      <c r="N289" s="109">
        <f>Table139159[[#This Row],[OPERATOR HOURS (BASE)]]+Table139159[[#This Row],[QUANTITY]]*Table139159[[#This Row],[OPERATOR HOURS (PER UNIT)]]</f>
        <v>0</v>
      </c>
      <c r="O289" s="36">
        <f>'TABLE OF CONTENTS'!$K$34</f>
        <v>37.5</v>
      </c>
      <c r="P289" s="36">
        <f>Table139159[[#This Row],[TOTAL OPERATOR HOURS]]*Table139159[[#This Row],[OPERATOR RATE]]</f>
        <v>0</v>
      </c>
      <c r="Q289" s="15">
        <v>0</v>
      </c>
      <c r="R289" s="13">
        <v>0</v>
      </c>
      <c r="S289" s="13">
        <v>0</v>
      </c>
      <c r="T289" s="28"/>
      <c r="U289" s="37">
        <f>SUM(Table139159[[#This Row],[OPERATOR COST]:[UTILITIES]])*Table139159[[#This Row],[FREQUENCY   (TIMES PER YEAR)]]</f>
        <v>0</v>
      </c>
    </row>
    <row r="290" spans="1:21" hidden="1" x14ac:dyDescent="0.25">
      <c r="A290" s="98" t="str">
        <f>IF(Table139159[[#This Row],[QUANTITY]]&gt;0, "YES", "NO")</f>
        <v>NO</v>
      </c>
      <c r="B290" s="27" t="s">
        <v>927</v>
      </c>
      <c r="C290" s="12" t="s">
        <v>31</v>
      </c>
      <c r="D290" s="12" t="s">
        <v>79</v>
      </c>
      <c r="E290" s="12" t="s">
        <v>53</v>
      </c>
      <c r="F290" s="12" t="s">
        <v>53</v>
      </c>
      <c r="G290" s="103" t="s">
        <v>15</v>
      </c>
      <c r="H290" s="103" t="s">
        <v>12</v>
      </c>
      <c r="I290" s="103">
        <v>0</v>
      </c>
      <c r="J290" s="103">
        <f>IFERROR(VLOOKUP(Table139159[[#This Row],[WORK ORDER]], '1. BUILDING ASSET INVENTORY'!A:K, 10, FALSE),0)</f>
        <v>0</v>
      </c>
      <c r="K290" s="102" t="str">
        <f>IFERROR(VLOOKUP(Table139159[[#This Row],[WORK ORDER]], '1. BUILDING ASSET INVENTORY'!A:L, 11, FALSE),"")</f>
        <v/>
      </c>
      <c r="L290" s="109"/>
      <c r="M290" s="197"/>
      <c r="N290" s="109">
        <f>Table139159[[#This Row],[OPERATOR HOURS (BASE)]]+Table139159[[#This Row],[QUANTITY]]*Table139159[[#This Row],[OPERATOR HOURS (PER UNIT)]]</f>
        <v>0</v>
      </c>
      <c r="O290" s="36">
        <f>'TABLE OF CONTENTS'!$K$34</f>
        <v>37.5</v>
      </c>
      <c r="P290" s="36">
        <f>Table139159[[#This Row],[TOTAL OPERATOR HOURS]]*Table139159[[#This Row],[OPERATOR RATE]]</f>
        <v>0</v>
      </c>
      <c r="Q290" s="15">
        <v>0</v>
      </c>
      <c r="R290" s="13">
        <v>0</v>
      </c>
      <c r="S290" s="13">
        <v>0</v>
      </c>
      <c r="T290" s="28"/>
      <c r="U290" s="37">
        <f>SUM(Table139159[[#This Row],[OPERATOR COST]:[UTILITIES]])*Table139159[[#This Row],[FREQUENCY   (TIMES PER YEAR)]]</f>
        <v>0</v>
      </c>
    </row>
    <row r="291" spans="1:21" hidden="1" x14ac:dyDescent="0.25">
      <c r="A291" s="98" t="str">
        <f>IF(Table139159[[#This Row],[QUANTITY]]&gt;0, "YES", "NO")</f>
        <v>NO</v>
      </c>
      <c r="B291" s="27" t="s">
        <v>926</v>
      </c>
      <c r="C291" s="12" t="s">
        <v>31</v>
      </c>
      <c r="D291" s="12" t="s">
        <v>79</v>
      </c>
      <c r="E291" s="12" t="s">
        <v>53</v>
      </c>
      <c r="F291" s="12" t="s">
        <v>53</v>
      </c>
      <c r="G291" s="103" t="s">
        <v>15</v>
      </c>
      <c r="H291" s="103" t="s">
        <v>12</v>
      </c>
      <c r="I291" s="103">
        <v>0</v>
      </c>
      <c r="J291" s="103">
        <f>IFERROR(VLOOKUP(Table139159[[#This Row],[WORK ORDER]], '1. BUILDING ASSET INVENTORY'!A:K, 10, FALSE),0)</f>
        <v>0</v>
      </c>
      <c r="K291" s="102" t="str">
        <f>IFERROR(VLOOKUP(Table139159[[#This Row],[WORK ORDER]], '1. BUILDING ASSET INVENTORY'!A:L, 11, FALSE),"")</f>
        <v/>
      </c>
      <c r="L291" s="109"/>
      <c r="M291" s="197"/>
      <c r="N291" s="109">
        <f>Table139159[[#This Row],[OPERATOR HOURS (BASE)]]+Table139159[[#This Row],[QUANTITY]]*Table139159[[#This Row],[OPERATOR HOURS (PER UNIT)]]</f>
        <v>0</v>
      </c>
      <c r="O291" s="36">
        <f>'TABLE OF CONTENTS'!$K$34</f>
        <v>37.5</v>
      </c>
      <c r="P291" s="36">
        <f>Table139159[[#This Row],[TOTAL OPERATOR HOURS]]*Table139159[[#This Row],[OPERATOR RATE]]</f>
        <v>0</v>
      </c>
      <c r="Q291" s="15">
        <v>0</v>
      </c>
      <c r="R291" s="13">
        <v>0</v>
      </c>
      <c r="S291" s="13">
        <v>0</v>
      </c>
      <c r="T291" s="28"/>
      <c r="U291" s="37">
        <f>SUM(Table139159[[#This Row],[OPERATOR COST]:[UTILITIES]])*Table139159[[#This Row],[FREQUENCY   (TIMES PER YEAR)]]</f>
        <v>0</v>
      </c>
    </row>
    <row r="292" spans="1:21" hidden="1" x14ac:dyDescent="0.25">
      <c r="A292" s="98" t="str">
        <f>IF(Table139159[[#This Row],[QUANTITY]]&gt;0, "YES", "NO")</f>
        <v>NO</v>
      </c>
      <c r="B292" s="27" t="s">
        <v>859</v>
      </c>
      <c r="C292" s="12" t="s">
        <v>31</v>
      </c>
      <c r="D292" s="12" t="s">
        <v>80</v>
      </c>
      <c r="E292" s="12" t="s">
        <v>19</v>
      </c>
      <c r="F292" s="12" t="s">
        <v>329</v>
      </c>
      <c r="G292" s="103" t="s">
        <v>217</v>
      </c>
      <c r="H292" s="103" t="s">
        <v>35</v>
      </c>
      <c r="I292" s="103">
        <f>1/5</f>
        <v>0.2</v>
      </c>
      <c r="J292" s="103">
        <f>IFERROR(VLOOKUP(Table139159[[#This Row],[WORK ORDER]], '1. BUILDING ASSET INVENTORY'!A:K, 10, FALSE),0)</f>
        <v>0</v>
      </c>
      <c r="K292" s="102" t="str">
        <f>IFERROR(VLOOKUP(Table139159[[#This Row],[WORK ORDER]], '1. BUILDING ASSET INVENTORY'!A:L, 11, FALSE),"")</f>
        <v>Each</v>
      </c>
      <c r="L292" s="109">
        <v>1</v>
      </c>
      <c r="M292" s="197">
        <v>4</v>
      </c>
      <c r="N292" s="109">
        <f>Table139159[[#This Row],[OPERATOR HOURS (BASE)]]+Table139159[[#This Row],[QUANTITY]]*Table139159[[#This Row],[OPERATOR HOURS (PER UNIT)]]</f>
        <v>1</v>
      </c>
      <c r="O292" s="36">
        <f>'TABLE OF CONTENTS'!$K$34</f>
        <v>37.5</v>
      </c>
      <c r="P292" s="36">
        <f>Table139159[[#This Row],[TOTAL OPERATOR HOURS]]*Table139159[[#This Row],[OPERATOR RATE]]</f>
        <v>37.5</v>
      </c>
      <c r="Q292" s="15">
        <v>2000</v>
      </c>
      <c r="R292" s="13">
        <v>0</v>
      </c>
      <c r="S292" s="13">
        <v>0</v>
      </c>
      <c r="T292" s="28"/>
      <c r="U292" s="37">
        <f>SUM(Table139159[[#This Row],[OPERATOR COST]:[UTILITIES]])*Table139159[[#This Row],[FREQUENCY   (TIMES PER YEAR)]]</f>
        <v>407.5</v>
      </c>
    </row>
    <row r="293" spans="1:21" hidden="1" x14ac:dyDescent="0.25">
      <c r="A293" s="98" t="str">
        <f>IF(Table139159[[#This Row],[QUANTITY]]&gt;0, "YES", "NO")</f>
        <v>NO</v>
      </c>
      <c r="B293" s="27" t="s">
        <v>925</v>
      </c>
      <c r="C293" s="12" t="s">
        <v>31</v>
      </c>
      <c r="D293" s="12" t="s">
        <v>80</v>
      </c>
      <c r="E293" s="12" t="s">
        <v>53</v>
      </c>
      <c r="F293" s="12" t="s">
        <v>53</v>
      </c>
      <c r="G293" s="103" t="s">
        <v>15</v>
      </c>
      <c r="H293" s="103" t="s">
        <v>12</v>
      </c>
      <c r="I293" s="103">
        <v>0</v>
      </c>
      <c r="J293" s="103">
        <f>IFERROR(VLOOKUP(Table139159[[#This Row],[WORK ORDER]], '1. BUILDING ASSET INVENTORY'!A:K, 10, FALSE),0)</f>
        <v>0</v>
      </c>
      <c r="K293" s="102" t="str">
        <f>IFERROR(VLOOKUP(Table139159[[#This Row],[WORK ORDER]], '1. BUILDING ASSET INVENTORY'!A:L, 11, FALSE),"")</f>
        <v/>
      </c>
      <c r="L293" s="109"/>
      <c r="M293" s="197"/>
      <c r="N293" s="109">
        <f>Table139159[[#This Row],[OPERATOR HOURS (BASE)]]+Table139159[[#This Row],[QUANTITY]]*Table139159[[#This Row],[OPERATOR HOURS (PER UNIT)]]</f>
        <v>0</v>
      </c>
      <c r="O293" s="36">
        <f>'TABLE OF CONTENTS'!$K$34</f>
        <v>37.5</v>
      </c>
      <c r="P293" s="36">
        <f>Table139159[[#This Row],[TOTAL OPERATOR HOURS]]*Table139159[[#This Row],[OPERATOR RATE]]</f>
        <v>0</v>
      </c>
      <c r="Q293" s="14">
        <v>0</v>
      </c>
      <c r="R293" s="13">
        <v>0</v>
      </c>
      <c r="S293" s="13">
        <v>0</v>
      </c>
      <c r="T293" s="28"/>
      <c r="U293" s="37">
        <f>SUM(Table139159[[#This Row],[OPERATOR COST]:[UTILITIES]])*Table139159[[#This Row],[FREQUENCY   (TIMES PER YEAR)]]</f>
        <v>0</v>
      </c>
    </row>
    <row r="294" spans="1:21" hidden="1" x14ac:dyDescent="0.25">
      <c r="A294" s="98" t="str">
        <f>IF(Table139159[[#This Row],[QUANTITY]]&gt;0, "YES", "NO")</f>
        <v>NO</v>
      </c>
      <c r="B294" s="27" t="s">
        <v>924</v>
      </c>
      <c r="C294" s="12" t="s">
        <v>31</v>
      </c>
      <c r="D294" s="12" t="s">
        <v>80</v>
      </c>
      <c r="E294" s="12" t="s">
        <v>53</v>
      </c>
      <c r="F294" s="12" t="s">
        <v>53</v>
      </c>
      <c r="G294" s="103" t="s">
        <v>15</v>
      </c>
      <c r="H294" s="103" t="s">
        <v>12</v>
      </c>
      <c r="I294" s="103">
        <v>0</v>
      </c>
      <c r="J294" s="103">
        <f>IFERROR(VLOOKUP(Table139159[[#This Row],[WORK ORDER]], '1. BUILDING ASSET INVENTORY'!A:K, 10, FALSE),0)</f>
        <v>0</v>
      </c>
      <c r="K294" s="102" t="str">
        <f>IFERROR(VLOOKUP(Table139159[[#This Row],[WORK ORDER]], '1. BUILDING ASSET INVENTORY'!A:L, 11, FALSE),"")</f>
        <v/>
      </c>
      <c r="L294" s="109"/>
      <c r="M294" s="197"/>
      <c r="N294" s="109">
        <f>Table139159[[#This Row],[OPERATOR HOURS (BASE)]]+Table139159[[#This Row],[QUANTITY]]*Table139159[[#This Row],[OPERATOR HOURS (PER UNIT)]]</f>
        <v>0</v>
      </c>
      <c r="O294" s="36">
        <f>'TABLE OF CONTENTS'!$K$34</f>
        <v>37.5</v>
      </c>
      <c r="P294" s="36">
        <f>Table139159[[#This Row],[TOTAL OPERATOR HOURS]]*Table139159[[#This Row],[OPERATOR RATE]]</f>
        <v>0</v>
      </c>
      <c r="Q294" s="15">
        <v>0</v>
      </c>
      <c r="R294" s="13">
        <v>0</v>
      </c>
      <c r="S294" s="13">
        <v>0</v>
      </c>
      <c r="T294" s="28"/>
      <c r="U294" s="37">
        <f>SUM(Table139159[[#This Row],[OPERATOR COST]:[UTILITIES]])*Table139159[[#This Row],[FREQUENCY   (TIMES PER YEAR)]]</f>
        <v>0</v>
      </c>
    </row>
    <row r="295" spans="1:21" hidden="1" x14ac:dyDescent="0.25">
      <c r="A295" s="98" t="str">
        <f>IF(Table139159[[#This Row],[QUANTITY]]&gt;0, "YES", "NO")</f>
        <v>NO</v>
      </c>
      <c r="B295" s="27" t="s">
        <v>923</v>
      </c>
      <c r="C295" s="12" t="s">
        <v>31</v>
      </c>
      <c r="D295" s="12" t="s">
        <v>80</v>
      </c>
      <c r="E295" s="12" t="s">
        <v>53</v>
      </c>
      <c r="F295" s="12" t="s">
        <v>53</v>
      </c>
      <c r="G295" s="103" t="s">
        <v>15</v>
      </c>
      <c r="H295" s="103" t="s">
        <v>12</v>
      </c>
      <c r="I295" s="103">
        <v>0</v>
      </c>
      <c r="J295" s="103">
        <f>IFERROR(VLOOKUP(Table139159[[#This Row],[WORK ORDER]], '1. BUILDING ASSET INVENTORY'!A:K, 10, FALSE),0)</f>
        <v>0</v>
      </c>
      <c r="K295" s="102" t="str">
        <f>IFERROR(VLOOKUP(Table139159[[#This Row],[WORK ORDER]], '1. BUILDING ASSET INVENTORY'!A:L, 11, FALSE),"")</f>
        <v/>
      </c>
      <c r="L295" s="109"/>
      <c r="M295" s="197"/>
      <c r="N295" s="109">
        <f>Table139159[[#This Row],[OPERATOR HOURS (BASE)]]+Table139159[[#This Row],[QUANTITY]]*Table139159[[#This Row],[OPERATOR HOURS (PER UNIT)]]</f>
        <v>0</v>
      </c>
      <c r="O295" s="36">
        <f>'TABLE OF CONTENTS'!$K$34</f>
        <v>37.5</v>
      </c>
      <c r="P295" s="36">
        <f>Table139159[[#This Row],[TOTAL OPERATOR HOURS]]*Table139159[[#This Row],[OPERATOR RATE]]</f>
        <v>0</v>
      </c>
      <c r="Q295" s="15">
        <v>0</v>
      </c>
      <c r="R295" s="13">
        <v>0</v>
      </c>
      <c r="S295" s="13">
        <v>0</v>
      </c>
      <c r="T295" s="28"/>
      <c r="U295" s="37">
        <f>SUM(Table139159[[#This Row],[OPERATOR COST]:[UTILITIES]])*Table139159[[#This Row],[FREQUENCY   (TIMES PER YEAR)]]</f>
        <v>0</v>
      </c>
    </row>
    <row r="296" spans="1:21" x14ac:dyDescent="0.25">
      <c r="A296" s="98" t="str">
        <f>IF(Table139159[[#This Row],[QUANTITY]]&gt;0, "YES", "NO")</f>
        <v>NO</v>
      </c>
      <c r="B296" s="27" t="s">
        <v>756</v>
      </c>
      <c r="C296" s="12" t="s">
        <v>32</v>
      </c>
      <c r="D296" s="12" t="s">
        <v>357</v>
      </c>
      <c r="E296" s="12" t="s">
        <v>109</v>
      </c>
      <c r="F296" s="12" t="s">
        <v>330</v>
      </c>
      <c r="G296" s="103" t="s">
        <v>204</v>
      </c>
      <c r="H296" s="103" t="s">
        <v>8</v>
      </c>
      <c r="I296" s="103">
        <v>1</v>
      </c>
      <c r="J296" s="103">
        <f>IFERROR(VLOOKUP(Table139159[[#This Row],[WORK ORDER]], '1. BUILDING ASSET INVENTORY'!A:K, 10, FALSE),0)</f>
        <v>0</v>
      </c>
      <c r="K296" s="102" t="str">
        <f>IFERROR(VLOOKUP(Table139159[[#This Row],[WORK ORDER]], '1. BUILDING ASSET INVENTORY'!A:L, 11, FALSE),"")</f>
        <v>Each</v>
      </c>
      <c r="L296" s="109">
        <v>1</v>
      </c>
      <c r="M296" s="197">
        <v>4</v>
      </c>
      <c r="N296" s="109">
        <f>Table139159[[#This Row],[OPERATOR HOURS (BASE)]]+Table139159[[#This Row],[QUANTITY]]*Table139159[[#This Row],[OPERATOR HOURS (PER UNIT)]]</f>
        <v>1</v>
      </c>
      <c r="O296" s="36">
        <f>'TABLE OF CONTENTS'!$K$34</f>
        <v>37.5</v>
      </c>
      <c r="P296" s="36">
        <f>Table139159[[#This Row],[TOTAL OPERATOR HOURS]]*Table139159[[#This Row],[OPERATOR RATE]]</f>
        <v>37.5</v>
      </c>
      <c r="Q296" s="14">
        <f>PRODUCT(Table139159[[#This Row],[QUANTITY]],2000)</f>
        <v>0</v>
      </c>
      <c r="R296" s="13">
        <v>0</v>
      </c>
      <c r="S296" s="13">
        <v>0</v>
      </c>
      <c r="T296" s="28"/>
      <c r="U296" s="37">
        <f>SUM(Table139159[[#This Row],[OPERATOR COST]:[UTILITIES]])*Table139159[[#This Row],[FREQUENCY   (TIMES PER YEAR)]]</f>
        <v>37.5</v>
      </c>
    </row>
    <row r="297" spans="1:21" x14ac:dyDescent="0.25">
      <c r="A297" s="98" t="str">
        <f>IF(Table139159[[#This Row],[QUANTITY]]&gt;0, "YES", "NO")</f>
        <v>NO</v>
      </c>
      <c r="B297" s="27" t="s">
        <v>757</v>
      </c>
      <c r="C297" s="12" t="s">
        <v>32</v>
      </c>
      <c r="D297" s="12" t="s">
        <v>357</v>
      </c>
      <c r="E297" s="12" t="s">
        <v>111</v>
      </c>
      <c r="F297" s="12" t="s">
        <v>356</v>
      </c>
      <c r="G297" s="103" t="s">
        <v>204</v>
      </c>
      <c r="H297" s="103" t="s">
        <v>12</v>
      </c>
      <c r="I297" s="103">
        <v>1</v>
      </c>
      <c r="J297" s="103">
        <f>IFERROR(VLOOKUP(Table139159[[#This Row],[WORK ORDER]], '1. BUILDING ASSET INVENTORY'!A:K, 10, FALSE),0)</f>
        <v>0</v>
      </c>
      <c r="K297" s="102" t="str">
        <f>IFERROR(VLOOKUP(Table139159[[#This Row],[WORK ORDER]], '1. BUILDING ASSET INVENTORY'!A:L, 11, FALSE),"")</f>
        <v>Each</v>
      </c>
      <c r="L297" s="109">
        <v>1</v>
      </c>
      <c r="M297" s="197">
        <v>2</v>
      </c>
      <c r="N297" s="109">
        <f>Table139159[[#This Row],[OPERATOR HOURS (BASE)]]+Table139159[[#This Row],[QUANTITY]]*Table139159[[#This Row],[OPERATOR HOURS (PER UNIT)]]</f>
        <v>1</v>
      </c>
      <c r="O297" s="36">
        <f>'TABLE OF CONTENTS'!$K$34</f>
        <v>37.5</v>
      </c>
      <c r="P297" s="36">
        <f>Table139159[[#This Row],[TOTAL OPERATOR HOURS]]*Table139159[[#This Row],[OPERATOR RATE]]</f>
        <v>37.5</v>
      </c>
      <c r="Q297" s="14">
        <v>0</v>
      </c>
      <c r="R297" s="13">
        <v>0</v>
      </c>
      <c r="S297" s="13">
        <v>300</v>
      </c>
      <c r="T297" s="28"/>
      <c r="U297" s="37">
        <f>SUM(Table139159[[#This Row],[OPERATOR COST]:[UTILITIES]])*Table139159[[#This Row],[FREQUENCY   (TIMES PER YEAR)]]</f>
        <v>337.5</v>
      </c>
    </row>
    <row r="298" spans="1:21" hidden="1" x14ac:dyDescent="0.25">
      <c r="A298" s="98" t="str">
        <f>IF(Table139159[[#This Row],[QUANTITY]]&gt;0, "YES", "NO")</f>
        <v>NO</v>
      </c>
      <c r="B298" s="27" t="s">
        <v>758</v>
      </c>
      <c r="C298" s="12" t="s">
        <v>32</v>
      </c>
      <c r="D298" s="12" t="s">
        <v>357</v>
      </c>
      <c r="E298" s="12" t="s">
        <v>53</v>
      </c>
      <c r="F298" s="12" t="s">
        <v>53</v>
      </c>
      <c r="G298" s="103" t="s">
        <v>15</v>
      </c>
      <c r="H298" s="103" t="s">
        <v>12</v>
      </c>
      <c r="I298" s="103">
        <v>0</v>
      </c>
      <c r="J298" s="103">
        <f>IFERROR(VLOOKUP(Table139159[[#This Row],[WORK ORDER]], '1. BUILDING ASSET INVENTORY'!A:K, 10, FALSE),0)</f>
        <v>0</v>
      </c>
      <c r="K298" s="102" t="str">
        <f>IFERROR(VLOOKUP(Table139159[[#This Row],[WORK ORDER]], '1. BUILDING ASSET INVENTORY'!A:L, 11, FALSE),"")</f>
        <v/>
      </c>
      <c r="L298" s="109"/>
      <c r="M298" s="197"/>
      <c r="N298" s="109">
        <f>Table139159[[#This Row],[OPERATOR HOURS (BASE)]]+Table139159[[#This Row],[QUANTITY]]*Table139159[[#This Row],[OPERATOR HOURS (PER UNIT)]]</f>
        <v>0</v>
      </c>
      <c r="O298" s="36">
        <f>'TABLE OF CONTENTS'!$K$34</f>
        <v>37.5</v>
      </c>
      <c r="P298" s="36">
        <f>Table139159[[#This Row],[TOTAL OPERATOR HOURS]]*Table139159[[#This Row],[OPERATOR RATE]]</f>
        <v>0</v>
      </c>
      <c r="Q298" s="15">
        <v>0</v>
      </c>
      <c r="R298" s="13">
        <v>0</v>
      </c>
      <c r="S298" s="13">
        <v>0</v>
      </c>
      <c r="T298" s="28"/>
      <c r="U298" s="37">
        <f>SUM(Table139159[[#This Row],[OPERATOR COST]:[UTILITIES]])*Table139159[[#This Row],[FREQUENCY   (TIMES PER YEAR)]]</f>
        <v>0</v>
      </c>
    </row>
    <row r="299" spans="1:21" hidden="1" x14ac:dyDescent="0.25">
      <c r="A299" s="98" t="str">
        <f>IF(Table139159[[#This Row],[QUANTITY]]&gt;0, "YES", "NO")</f>
        <v>NO</v>
      </c>
      <c r="B299" s="27" t="s">
        <v>759</v>
      </c>
      <c r="C299" s="12" t="s">
        <v>32</v>
      </c>
      <c r="D299" s="12" t="s">
        <v>357</v>
      </c>
      <c r="E299" s="12" t="s">
        <v>53</v>
      </c>
      <c r="F299" s="12" t="s">
        <v>53</v>
      </c>
      <c r="G299" s="103" t="s">
        <v>15</v>
      </c>
      <c r="H299" s="103" t="s">
        <v>12</v>
      </c>
      <c r="I299" s="103">
        <v>0</v>
      </c>
      <c r="J299" s="103">
        <f>IFERROR(VLOOKUP(Table139159[[#This Row],[WORK ORDER]], '1. BUILDING ASSET INVENTORY'!A:K, 10, FALSE),0)</f>
        <v>0</v>
      </c>
      <c r="K299" s="102" t="str">
        <f>IFERROR(VLOOKUP(Table139159[[#This Row],[WORK ORDER]], '1. BUILDING ASSET INVENTORY'!A:L, 11, FALSE),"")</f>
        <v/>
      </c>
      <c r="L299" s="109"/>
      <c r="M299" s="197"/>
      <c r="N299" s="109">
        <f>Table139159[[#This Row],[OPERATOR HOURS (BASE)]]+Table139159[[#This Row],[QUANTITY]]*Table139159[[#This Row],[OPERATOR HOURS (PER UNIT)]]</f>
        <v>0</v>
      </c>
      <c r="O299" s="36">
        <f>'TABLE OF CONTENTS'!$K$34</f>
        <v>37.5</v>
      </c>
      <c r="P299" s="36">
        <f>Table139159[[#This Row],[TOTAL OPERATOR HOURS]]*Table139159[[#This Row],[OPERATOR RATE]]</f>
        <v>0</v>
      </c>
      <c r="Q299" s="14">
        <v>0</v>
      </c>
      <c r="R299" s="13">
        <v>0</v>
      </c>
      <c r="S299" s="13">
        <v>0</v>
      </c>
      <c r="T299" s="28"/>
      <c r="U299" s="37">
        <f>SUM(Table139159[[#This Row],[OPERATOR COST]:[UTILITIES]])*Table139159[[#This Row],[FREQUENCY   (TIMES PER YEAR)]]</f>
        <v>0</v>
      </c>
    </row>
    <row r="300" spans="1:21" hidden="1" x14ac:dyDescent="0.25">
      <c r="A300" s="98" t="str">
        <f>IF(Table139159[[#This Row],[QUANTITY]]&gt;0, "YES", "NO")</f>
        <v>NO</v>
      </c>
      <c r="B300" s="27" t="s">
        <v>760</v>
      </c>
      <c r="C300" s="12" t="s">
        <v>32</v>
      </c>
      <c r="D300" s="12" t="s">
        <v>357</v>
      </c>
      <c r="E300" s="12" t="s">
        <v>53</v>
      </c>
      <c r="F300" s="12" t="s">
        <v>53</v>
      </c>
      <c r="G300" s="103" t="s">
        <v>15</v>
      </c>
      <c r="H300" s="103" t="s">
        <v>12</v>
      </c>
      <c r="I300" s="103">
        <v>0</v>
      </c>
      <c r="J300" s="103">
        <f>IFERROR(VLOOKUP(Table139159[[#This Row],[WORK ORDER]], '1. BUILDING ASSET INVENTORY'!A:K, 10, FALSE),0)</f>
        <v>0</v>
      </c>
      <c r="K300" s="102" t="str">
        <f>IFERROR(VLOOKUP(Table139159[[#This Row],[WORK ORDER]], '1. BUILDING ASSET INVENTORY'!A:L, 11, FALSE),"")</f>
        <v/>
      </c>
      <c r="L300" s="109"/>
      <c r="M300" s="197"/>
      <c r="N300" s="109">
        <f>Table139159[[#This Row],[OPERATOR HOURS (BASE)]]+Table139159[[#This Row],[QUANTITY]]*Table139159[[#This Row],[OPERATOR HOURS (PER UNIT)]]</f>
        <v>0</v>
      </c>
      <c r="O300" s="36">
        <f>'TABLE OF CONTENTS'!$K$34</f>
        <v>37.5</v>
      </c>
      <c r="P300" s="36">
        <f>Table139159[[#This Row],[TOTAL OPERATOR HOURS]]*Table139159[[#This Row],[OPERATOR RATE]]</f>
        <v>0</v>
      </c>
      <c r="Q300" s="14">
        <v>0</v>
      </c>
      <c r="R300" s="13">
        <v>0</v>
      </c>
      <c r="S300" s="13">
        <v>0</v>
      </c>
      <c r="T300" s="28"/>
      <c r="U300" s="37">
        <f>SUM(Table139159[[#This Row],[OPERATOR COST]:[UTILITIES]])*Table139159[[#This Row],[FREQUENCY   (TIMES PER YEAR)]]</f>
        <v>0</v>
      </c>
    </row>
    <row r="301" spans="1:21" ht="45" hidden="1" x14ac:dyDescent="0.25">
      <c r="A301" s="98" t="str">
        <f>IF(Table139159[[#This Row],[QUANTITY]]&gt;0, "YES", "NO")</f>
        <v>NO</v>
      </c>
      <c r="B301" s="27" t="s">
        <v>761</v>
      </c>
      <c r="C301" s="12" t="s">
        <v>32</v>
      </c>
      <c r="D301" s="12" t="s">
        <v>357</v>
      </c>
      <c r="E301" s="12" t="s">
        <v>109</v>
      </c>
      <c r="F301" s="12" t="s">
        <v>354</v>
      </c>
      <c r="G301" s="103" t="s">
        <v>217</v>
      </c>
      <c r="H301" s="103" t="s">
        <v>132</v>
      </c>
      <c r="I301" s="103">
        <f>1/10</f>
        <v>0.1</v>
      </c>
      <c r="J301" s="103">
        <f>IFERROR(VLOOKUP(Table139159[[#This Row],[WORK ORDER]], '1. BUILDING ASSET INVENTORY'!A:K, 10, FALSE),0)</f>
        <v>0</v>
      </c>
      <c r="K301" s="102" t="str">
        <f>IFERROR(VLOOKUP(Table139159[[#This Row],[WORK ORDER]], '1. BUILDING ASSET INVENTORY'!A:L, 11, FALSE),"")</f>
        <v>m</v>
      </c>
      <c r="L301" s="109">
        <v>1</v>
      </c>
      <c r="M301" s="197">
        <v>1.6</v>
      </c>
      <c r="N301" s="109">
        <f>Table139159[[#This Row],[OPERATOR HOURS (BASE)]]+Table139159[[#This Row],[QUANTITY]]*Table139159[[#This Row],[OPERATOR HOURS (PER UNIT)]]</f>
        <v>1</v>
      </c>
      <c r="O301" s="36">
        <f>'TABLE OF CONTENTS'!$K$34</f>
        <v>37.5</v>
      </c>
      <c r="P301" s="36">
        <f>Table139159[[#This Row],[TOTAL OPERATOR HOURS]]*Table139159[[#This Row],[OPERATOR RATE]]</f>
        <v>37.5</v>
      </c>
      <c r="Q301" s="14">
        <f>PRODUCT(Table139159[[#This Row],[QUANTITY]],500)</f>
        <v>0</v>
      </c>
      <c r="R301" s="13">
        <v>400</v>
      </c>
      <c r="S301" s="13">
        <v>250</v>
      </c>
      <c r="T301" s="28"/>
      <c r="U301" s="37">
        <f>SUM(Table139159[[#This Row],[OPERATOR COST]:[UTILITIES]])*Table139159[[#This Row],[FREQUENCY   (TIMES PER YEAR)]]</f>
        <v>68.75</v>
      </c>
    </row>
    <row r="302" spans="1:21" ht="30" hidden="1" x14ac:dyDescent="0.25">
      <c r="A302" s="98" t="str">
        <f>IF(Table139159[[#This Row],[QUANTITY]]&gt;0, "YES", "NO")</f>
        <v>NO</v>
      </c>
      <c r="B302" s="27" t="s">
        <v>762</v>
      </c>
      <c r="C302" s="12" t="s">
        <v>32</v>
      </c>
      <c r="D302" s="12" t="s">
        <v>357</v>
      </c>
      <c r="E302" s="12" t="s">
        <v>109</v>
      </c>
      <c r="F302" s="12" t="s">
        <v>353</v>
      </c>
      <c r="G302" s="103" t="s">
        <v>217</v>
      </c>
      <c r="H302" s="103" t="s">
        <v>132</v>
      </c>
      <c r="I302" s="103">
        <f>1/10</f>
        <v>0.1</v>
      </c>
      <c r="J302" s="103">
        <f>IFERROR(VLOOKUP(Table139159[[#This Row],[WORK ORDER]], '1. BUILDING ASSET INVENTORY'!A:K, 10, FALSE),0)</f>
        <v>0</v>
      </c>
      <c r="K302" s="102" t="str">
        <f>IFERROR(VLOOKUP(Table139159[[#This Row],[WORK ORDER]], '1. BUILDING ASSET INVENTORY'!A:L, 11, FALSE),"")</f>
        <v>Each</v>
      </c>
      <c r="L302" s="109">
        <v>1</v>
      </c>
      <c r="M302" s="197">
        <v>2</v>
      </c>
      <c r="N302" s="109">
        <f>Table139159[[#This Row],[OPERATOR HOURS (BASE)]]+Table139159[[#This Row],[QUANTITY]]*Table139159[[#This Row],[OPERATOR HOURS (PER UNIT)]]</f>
        <v>1</v>
      </c>
      <c r="O302" s="36">
        <f>'TABLE OF CONTENTS'!$K$34</f>
        <v>37.5</v>
      </c>
      <c r="P302" s="36">
        <f>Table139159[[#This Row],[TOTAL OPERATOR HOURS]]*Table139159[[#This Row],[OPERATOR RATE]]</f>
        <v>37.5</v>
      </c>
      <c r="Q302" s="14">
        <f>PRODUCT(Table139159[[#This Row],[QUANTITY]],750)</f>
        <v>0</v>
      </c>
      <c r="R302" s="13">
        <v>0</v>
      </c>
      <c r="S302" s="13">
        <v>0</v>
      </c>
      <c r="T302" s="28"/>
      <c r="U302" s="37">
        <f>SUM(Table139159[[#This Row],[OPERATOR COST]:[UTILITIES]])*Table139159[[#This Row],[FREQUENCY   (TIMES PER YEAR)]]</f>
        <v>3.75</v>
      </c>
    </row>
    <row r="303" spans="1:21" ht="30" hidden="1" x14ac:dyDescent="0.25">
      <c r="A303" s="98" t="str">
        <f>IF(Table139159[[#This Row],[QUANTITY]]&gt;0, "YES", "NO")</f>
        <v>NO</v>
      </c>
      <c r="B303" s="27" t="s">
        <v>763</v>
      </c>
      <c r="C303" s="12" t="s">
        <v>32</v>
      </c>
      <c r="D303" s="12" t="s">
        <v>357</v>
      </c>
      <c r="E303" s="12" t="s">
        <v>109</v>
      </c>
      <c r="F303" s="12" t="s">
        <v>351</v>
      </c>
      <c r="G303" s="103" t="s">
        <v>217</v>
      </c>
      <c r="H303" s="103" t="s">
        <v>132</v>
      </c>
      <c r="I303" s="103">
        <f>1/10</f>
        <v>0.1</v>
      </c>
      <c r="J303" s="103">
        <f>IFERROR(VLOOKUP(Table139159[[#This Row],[WORK ORDER]], '1. BUILDING ASSET INVENTORY'!A:K, 10, FALSE),0)</f>
        <v>0</v>
      </c>
      <c r="K303" s="102" t="str">
        <f>IFERROR(VLOOKUP(Table139159[[#This Row],[WORK ORDER]], '1. BUILDING ASSET INVENTORY'!A:L, 11, FALSE),"")</f>
        <v>Each</v>
      </c>
      <c r="L303" s="109">
        <v>1</v>
      </c>
      <c r="M303" s="197">
        <v>4</v>
      </c>
      <c r="N303" s="109">
        <f>Table139159[[#This Row],[OPERATOR HOURS (BASE)]]+Table139159[[#This Row],[QUANTITY]]*Table139159[[#This Row],[OPERATOR HOURS (PER UNIT)]]</f>
        <v>1</v>
      </c>
      <c r="O303" s="36">
        <f>'TABLE OF CONTENTS'!$K$34</f>
        <v>37.5</v>
      </c>
      <c r="P303" s="36">
        <f>Table139159[[#This Row],[TOTAL OPERATOR HOURS]]*Table139159[[#This Row],[OPERATOR RATE]]</f>
        <v>37.5</v>
      </c>
      <c r="Q303" s="14">
        <f>PRODUCT(Table139159[[#This Row],[QUANTITY]],4000)</f>
        <v>0</v>
      </c>
      <c r="R303" s="13">
        <v>0</v>
      </c>
      <c r="S303" s="13">
        <v>0</v>
      </c>
      <c r="T303" s="28"/>
      <c r="U303" s="37">
        <f>SUM(Table139159[[#This Row],[OPERATOR COST]:[UTILITIES]])*Table139159[[#This Row],[FREQUENCY   (TIMES PER YEAR)]]</f>
        <v>3.75</v>
      </c>
    </row>
    <row r="304" spans="1:21" ht="30" hidden="1" x14ac:dyDescent="0.25">
      <c r="A304" s="98" t="str">
        <f>IF(Table139159[[#This Row],[QUANTITY]]&gt;0, "YES", "NO")</f>
        <v>NO</v>
      </c>
      <c r="B304" s="27" t="s">
        <v>764</v>
      </c>
      <c r="C304" s="12" t="s">
        <v>32</v>
      </c>
      <c r="D304" s="12" t="s">
        <v>357</v>
      </c>
      <c r="E304" s="12" t="s">
        <v>109</v>
      </c>
      <c r="F304" s="12" t="s">
        <v>352</v>
      </c>
      <c r="G304" s="103" t="s">
        <v>217</v>
      </c>
      <c r="H304" s="103" t="s">
        <v>132</v>
      </c>
      <c r="I304" s="103">
        <f>1/10</f>
        <v>0.1</v>
      </c>
      <c r="J304" s="103">
        <f>IFERROR(VLOOKUP(Table139159[[#This Row],[WORK ORDER]], '1. BUILDING ASSET INVENTORY'!A:K, 10, FALSE),0)</f>
        <v>0</v>
      </c>
      <c r="K304" s="102" t="str">
        <f>IFERROR(VLOOKUP(Table139159[[#This Row],[WORK ORDER]], '1. BUILDING ASSET INVENTORY'!A:L, 11, FALSE),"")</f>
        <v>Each</v>
      </c>
      <c r="L304" s="109">
        <v>1</v>
      </c>
      <c r="M304" s="197">
        <v>4</v>
      </c>
      <c r="N304" s="109">
        <f>Table139159[[#This Row],[OPERATOR HOURS (BASE)]]+Table139159[[#This Row],[QUANTITY]]*Table139159[[#This Row],[OPERATOR HOURS (PER UNIT)]]</f>
        <v>1</v>
      </c>
      <c r="O304" s="36">
        <f>'TABLE OF CONTENTS'!$K$34</f>
        <v>37.5</v>
      </c>
      <c r="P304" s="36">
        <f>Table139159[[#This Row],[TOTAL OPERATOR HOURS]]*Table139159[[#This Row],[OPERATOR RATE]]</f>
        <v>37.5</v>
      </c>
      <c r="Q304" s="14">
        <f>PRODUCT(Table139159[[#This Row],[QUANTITY]],5000)</f>
        <v>0</v>
      </c>
      <c r="R304" s="13">
        <v>0</v>
      </c>
      <c r="S304" s="13">
        <v>0</v>
      </c>
      <c r="T304" s="28"/>
      <c r="U304" s="37">
        <f>SUM(Table139159[[#This Row],[OPERATOR COST]:[UTILITIES]])*Table139159[[#This Row],[FREQUENCY   (TIMES PER YEAR)]]</f>
        <v>3.75</v>
      </c>
    </row>
    <row r="305" spans="1:21" ht="30" x14ac:dyDescent="0.25">
      <c r="A305" s="98" t="str">
        <f>IF(Table139159[[#This Row],[QUANTITY]]&gt;0, "YES", "NO")</f>
        <v>NO</v>
      </c>
      <c r="B305" s="27" t="s">
        <v>397</v>
      </c>
      <c r="C305" s="17" t="s">
        <v>32</v>
      </c>
      <c r="D305" s="17" t="s">
        <v>357</v>
      </c>
      <c r="E305" s="17" t="s">
        <v>349</v>
      </c>
      <c r="F305" s="17" t="s">
        <v>348</v>
      </c>
      <c r="G305" s="107" t="s">
        <v>204</v>
      </c>
      <c r="H305" s="107" t="s">
        <v>8</v>
      </c>
      <c r="I305" s="107">
        <v>1</v>
      </c>
      <c r="J305" s="107">
        <f>IFERROR(VLOOKUP(Table139159[[#This Row],[WORK ORDER]], '1. BUILDING ASSET INVENTORY'!A:K, 10, FALSE),0)</f>
        <v>0</v>
      </c>
      <c r="K305" s="102" t="str">
        <f>IFERROR(VLOOKUP(Table139159[[#This Row],[WORK ORDER]], '1. BUILDING ASSET INVENTORY'!A:L, 11, FALSE),"")</f>
        <v>Each</v>
      </c>
      <c r="L305" s="111">
        <v>1</v>
      </c>
      <c r="M305" s="199">
        <v>4</v>
      </c>
      <c r="N305" s="111">
        <f>Table139159[[#This Row],[OPERATOR HOURS (BASE)]]+Table139159[[#This Row],[QUANTITY]]*Table139159[[#This Row],[OPERATOR HOURS (PER UNIT)]]</f>
        <v>1</v>
      </c>
      <c r="O305" s="36">
        <f>'TABLE OF CONTENTS'!$K$34</f>
        <v>37.5</v>
      </c>
      <c r="P305" s="36">
        <f>Table139159[[#This Row],[TOTAL OPERATOR HOURS]]*Table139159[[#This Row],[OPERATOR RATE]]</f>
        <v>37.5</v>
      </c>
      <c r="Q305" s="14">
        <f>PRODUCT(Table139159[[#This Row],[QUANTITY]],1000)</f>
        <v>0</v>
      </c>
      <c r="R305" s="19">
        <v>0</v>
      </c>
      <c r="S305" s="19">
        <v>0</v>
      </c>
      <c r="T305" s="31"/>
      <c r="U305" s="37">
        <f>SUM(Table139159[[#This Row],[OPERATOR COST]:[UTILITIES]])*Table139159[[#This Row],[FREQUENCY   (TIMES PER YEAR)]]</f>
        <v>37.5</v>
      </c>
    </row>
    <row r="306" spans="1:21" ht="30" hidden="1" x14ac:dyDescent="0.25">
      <c r="A306" s="98" t="str">
        <f>IF(Table139159[[#This Row],[QUANTITY]]&gt;0, "YES", "NO")</f>
        <v>NO</v>
      </c>
      <c r="B306" s="27" t="s">
        <v>398</v>
      </c>
      <c r="C306" s="12" t="s">
        <v>32</v>
      </c>
      <c r="D306" s="12" t="s">
        <v>357</v>
      </c>
      <c r="E306" s="12" t="s">
        <v>349</v>
      </c>
      <c r="F306" s="12" t="s">
        <v>350</v>
      </c>
      <c r="G306" s="103" t="s">
        <v>217</v>
      </c>
      <c r="H306" s="103" t="s">
        <v>286</v>
      </c>
      <c r="I306" s="103">
        <f>1/20</f>
        <v>0.05</v>
      </c>
      <c r="J306" s="103">
        <f>IFERROR(VLOOKUP(Table139159[[#This Row],[WORK ORDER]], '1. BUILDING ASSET INVENTORY'!A:K, 10, FALSE),0)</f>
        <v>0</v>
      </c>
      <c r="K306" s="102" t="str">
        <f>IFERROR(VLOOKUP(Table139159[[#This Row],[WORK ORDER]], '1. BUILDING ASSET INVENTORY'!A:L, 11, FALSE),"")</f>
        <v>Each</v>
      </c>
      <c r="L306" s="109">
        <v>1</v>
      </c>
      <c r="M306" s="197">
        <v>4</v>
      </c>
      <c r="N306" s="109">
        <f>Table139159[[#This Row],[OPERATOR HOURS (BASE)]]+Table139159[[#This Row],[QUANTITY]]*Table139159[[#This Row],[OPERATOR HOURS (PER UNIT)]]</f>
        <v>1</v>
      </c>
      <c r="O306" s="36">
        <f>'TABLE OF CONTENTS'!$K$34</f>
        <v>37.5</v>
      </c>
      <c r="P306" s="36">
        <f>Table139159[[#This Row],[TOTAL OPERATOR HOURS]]*Table139159[[#This Row],[OPERATOR RATE]]</f>
        <v>37.5</v>
      </c>
      <c r="Q306" s="14">
        <f>PRODUCT(Table139159[[#This Row],[QUANTITY]],7500)</f>
        <v>0</v>
      </c>
      <c r="R306" s="13">
        <v>0</v>
      </c>
      <c r="S306" s="13">
        <v>0</v>
      </c>
      <c r="T306" s="28"/>
      <c r="U306" s="37">
        <f>SUM(Table139159[[#This Row],[OPERATOR COST]:[UTILITIES]])*Table139159[[#This Row],[FREQUENCY   (TIMES PER YEAR)]]</f>
        <v>1.875</v>
      </c>
    </row>
    <row r="307" spans="1:21" ht="30" x14ac:dyDescent="0.25">
      <c r="A307" s="98" t="str">
        <f>IF(Table139159[[#This Row],[QUANTITY]]&gt;0, "YES", "NO")</f>
        <v>NO</v>
      </c>
      <c r="B307" s="27" t="s">
        <v>399</v>
      </c>
      <c r="C307" s="20" t="s">
        <v>32</v>
      </c>
      <c r="D307" s="20" t="s">
        <v>357</v>
      </c>
      <c r="E307" s="20" t="s">
        <v>110</v>
      </c>
      <c r="F307" s="20" t="s">
        <v>331</v>
      </c>
      <c r="G307" s="105" t="s">
        <v>204</v>
      </c>
      <c r="H307" s="105" t="s">
        <v>8</v>
      </c>
      <c r="I307" s="105">
        <v>1</v>
      </c>
      <c r="J307" s="105">
        <f>IFERROR(VLOOKUP(Table139159[[#This Row],[WORK ORDER]], '1. BUILDING ASSET INVENTORY'!A:K, 10, FALSE),0)</f>
        <v>0</v>
      </c>
      <c r="K307" s="102" t="str">
        <f>IFERROR(VLOOKUP(Table139159[[#This Row],[WORK ORDER]], '1. BUILDING ASSET INVENTORY'!A:L, 11, FALSE),"")</f>
        <v>Each</v>
      </c>
      <c r="L307" s="110">
        <v>1</v>
      </c>
      <c r="M307" s="198">
        <v>4</v>
      </c>
      <c r="N307" s="110">
        <f>Table139159[[#This Row],[OPERATOR HOURS (BASE)]]+Table139159[[#This Row],[QUANTITY]]*Table139159[[#This Row],[OPERATOR HOURS (PER UNIT)]]</f>
        <v>1</v>
      </c>
      <c r="O307" s="36">
        <f>'TABLE OF CONTENTS'!$K$34</f>
        <v>37.5</v>
      </c>
      <c r="P307" s="36">
        <f>Table139159[[#This Row],[TOTAL OPERATOR HOURS]]*Table139159[[#This Row],[OPERATOR RATE]]</f>
        <v>37.5</v>
      </c>
      <c r="Q307" s="14">
        <f>PRODUCT(Table139159[[#This Row],[QUANTITY]],2000)</f>
        <v>0</v>
      </c>
      <c r="R307" s="22">
        <v>0</v>
      </c>
      <c r="S307" s="22">
        <v>0</v>
      </c>
      <c r="T307" s="32"/>
      <c r="U307" s="37">
        <f>SUM(Table139159[[#This Row],[OPERATOR COST]:[UTILITIES]])*Table139159[[#This Row],[FREQUENCY   (TIMES PER YEAR)]]</f>
        <v>37.5</v>
      </c>
    </row>
    <row r="308" spans="1:21" ht="30" x14ac:dyDescent="0.25">
      <c r="A308" s="98" t="str">
        <f>IF(Table139159[[#This Row],[QUANTITY]]&gt;0, "YES", "NO")</f>
        <v>NO</v>
      </c>
      <c r="B308" s="27" t="s">
        <v>400</v>
      </c>
      <c r="C308" s="12" t="s">
        <v>32</v>
      </c>
      <c r="D308" s="12" t="s">
        <v>357</v>
      </c>
      <c r="E308" s="12" t="s">
        <v>111</v>
      </c>
      <c r="F308" s="12" t="s">
        <v>549</v>
      </c>
      <c r="G308" s="103" t="s">
        <v>204</v>
      </c>
      <c r="H308" s="103" t="s">
        <v>8</v>
      </c>
      <c r="I308" s="103">
        <v>1</v>
      </c>
      <c r="J308" s="103">
        <f>IFERROR(VLOOKUP(Table139159[[#This Row],[WORK ORDER]], '1. BUILDING ASSET INVENTORY'!A:K, 10, FALSE),0)</f>
        <v>0</v>
      </c>
      <c r="K308" s="102" t="str">
        <f>IFERROR(VLOOKUP(Table139159[[#This Row],[WORK ORDER]], '1. BUILDING ASSET INVENTORY'!A:L, 11, FALSE),"")</f>
        <v>Each</v>
      </c>
      <c r="L308" s="109">
        <v>1</v>
      </c>
      <c r="M308" s="197">
        <v>0</v>
      </c>
      <c r="N308" s="109">
        <f>Table139159[[#This Row],[OPERATOR HOURS (BASE)]]+Table139159[[#This Row],[QUANTITY]]*Table139159[[#This Row],[OPERATOR HOURS (PER UNIT)]]</f>
        <v>1</v>
      </c>
      <c r="O308" s="36">
        <f>'TABLE OF CONTENTS'!$K$34</f>
        <v>37.5</v>
      </c>
      <c r="P308" s="36">
        <f>Table139159[[#This Row],[TOTAL OPERATOR HOURS]]*Table139159[[#This Row],[OPERATOR RATE]]</f>
        <v>37.5</v>
      </c>
      <c r="Q308" s="14">
        <f>PRODUCT(Table139159[[#This Row],[QUANTITY]],75)</f>
        <v>0</v>
      </c>
      <c r="R308" s="13">
        <v>0</v>
      </c>
      <c r="S308" s="13">
        <v>0</v>
      </c>
      <c r="T308" s="28"/>
      <c r="U308" s="37">
        <f>SUM(Table139159[[#This Row],[OPERATOR COST]:[UTILITIES]])*Table139159[[#This Row],[FREQUENCY   (TIMES PER YEAR)]]</f>
        <v>37.5</v>
      </c>
    </row>
    <row r="309" spans="1:21" ht="30" hidden="1" x14ac:dyDescent="0.25">
      <c r="A309" s="98" t="str">
        <f>IF(Table139159[[#This Row],[QUANTITY]]&gt;0, "YES", "NO")</f>
        <v>NO</v>
      </c>
      <c r="B309" s="27" t="s">
        <v>874</v>
      </c>
      <c r="C309" s="12" t="s">
        <v>32</v>
      </c>
      <c r="D309" s="12" t="s">
        <v>358</v>
      </c>
      <c r="E309" s="12" t="s">
        <v>19</v>
      </c>
      <c r="F309" s="12" t="s">
        <v>333</v>
      </c>
      <c r="G309" s="103" t="s">
        <v>217</v>
      </c>
      <c r="H309" s="103" t="s">
        <v>35</v>
      </c>
      <c r="I309" s="103">
        <f>1/5</f>
        <v>0.2</v>
      </c>
      <c r="J309" s="103">
        <f>IFERROR(VLOOKUP(Table139159[[#This Row],[WORK ORDER]], '1. BUILDING ASSET INVENTORY'!A:K, 10, FALSE),0)</f>
        <v>0</v>
      </c>
      <c r="K309" s="102" t="str">
        <f>IFERROR(VLOOKUP(Table139159[[#This Row],[WORK ORDER]], '1. BUILDING ASSET INVENTORY'!A:L, 11, FALSE),"")</f>
        <v>Each</v>
      </c>
      <c r="L309" s="109">
        <v>1</v>
      </c>
      <c r="M309" s="197">
        <v>4</v>
      </c>
      <c r="N309" s="109">
        <f>Table139159[[#This Row],[OPERATOR HOURS (BASE)]]+Table139159[[#This Row],[QUANTITY]]*Table139159[[#This Row],[OPERATOR HOURS (PER UNIT)]]</f>
        <v>1</v>
      </c>
      <c r="O309" s="36">
        <f>'TABLE OF CONTENTS'!$K$34</f>
        <v>37.5</v>
      </c>
      <c r="P309" s="36">
        <f>Table139159[[#This Row],[TOTAL OPERATOR HOURS]]*Table139159[[#This Row],[OPERATOR RATE]]</f>
        <v>37.5</v>
      </c>
      <c r="Q309" s="15">
        <v>2500</v>
      </c>
      <c r="R309" s="13">
        <v>0</v>
      </c>
      <c r="S309" s="13">
        <v>0</v>
      </c>
      <c r="T309" s="28"/>
      <c r="U309" s="37">
        <f>SUM(Table139159[[#This Row],[OPERATOR COST]:[UTILITIES]])*Table139159[[#This Row],[FREQUENCY   (TIMES PER YEAR)]]</f>
        <v>507.5</v>
      </c>
    </row>
    <row r="310" spans="1:21" hidden="1" x14ac:dyDescent="0.25">
      <c r="A310" s="98" t="str">
        <f>IF(Table139159[[#This Row],[QUANTITY]]&gt;0, "YES", "NO")</f>
        <v>NO</v>
      </c>
      <c r="B310" s="27" t="s">
        <v>922</v>
      </c>
      <c r="C310" s="12" t="s">
        <v>32</v>
      </c>
      <c r="D310" s="12" t="s">
        <v>358</v>
      </c>
      <c r="E310" s="12" t="s">
        <v>53</v>
      </c>
      <c r="F310" s="12" t="s">
        <v>53</v>
      </c>
      <c r="G310" s="103" t="s">
        <v>15</v>
      </c>
      <c r="H310" s="103" t="s">
        <v>12</v>
      </c>
      <c r="I310" s="103">
        <v>0</v>
      </c>
      <c r="J310" s="103">
        <f>IFERROR(VLOOKUP(Table139159[[#This Row],[WORK ORDER]], '1. BUILDING ASSET INVENTORY'!A:K, 10, FALSE),0)</f>
        <v>0</v>
      </c>
      <c r="K310" s="102" t="str">
        <f>IFERROR(VLOOKUP(Table139159[[#This Row],[WORK ORDER]], '1. BUILDING ASSET INVENTORY'!A:L, 11, FALSE),"")</f>
        <v/>
      </c>
      <c r="L310" s="109"/>
      <c r="M310" s="197"/>
      <c r="N310" s="109">
        <f>Table139159[[#This Row],[OPERATOR HOURS (BASE)]]+Table139159[[#This Row],[QUANTITY]]*Table139159[[#This Row],[OPERATOR HOURS (PER UNIT)]]</f>
        <v>0</v>
      </c>
      <c r="O310" s="36">
        <f>'TABLE OF CONTENTS'!$K$34</f>
        <v>37.5</v>
      </c>
      <c r="P310" s="36">
        <f>Table139159[[#This Row],[TOTAL OPERATOR HOURS]]*Table139159[[#This Row],[OPERATOR RATE]]</f>
        <v>0</v>
      </c>
      <c r="Q310" s="14">
        <v>0</v>
      </c>
      <c r="R310" s="13">
        <v>0</v>
      </c>
      <c r="S310" s="13">
        <v>0</v>
      </c>
      <c r="T310" s="28"/>
      <c r="U310" s="37">
        <f>SUM(Table139159[[#This Row],[OPERATOR COST]:[UTILITIES]])*Table139159[[#This Row],[FREQUENCY   (TIMES PER YEAR)]]</f>
        <v>0</v>
      </c>
    </row>
    <row r="311" spans="1:21" hidden="1" x14ac:dyDescent="0.25">
      <c r="A311" s="98" t="str">
        <f>IF(Table139159[[#This Row],[QUANTITY]]&gt;0, "YES", "NO")</f>
        <v>NO</v>
      </c>
      <c r="B311" s="27" t="s">
        <v>921</v>
      </c>
      <c r="C311" s="12" t="s">
        <v>32</v>
      </c>
      <c r="D311" s="12" t="s">
        <v>358</v>
      </c>
      <c r="E311" s="12" t="s">
        <v>53</v>
      </c>
      <c r="F311" s="12" t="s">
        <v>53</v>
      </c>
      <c r="G311" s="103" t="s">
        <v>15</v>
      </c>
      <c r="H311" s="103" t="s">
        <v>12</v>
      </c>
      <c r="I311" s="103">
        <v>0</v>
      </c>
      <c r="J311" s="103">
        <f>IFERROR(VLOOKUP(Table139159[[#This Row],[WORK ORDER]], '1. BUILDING ASSET INVENTORY'!A:K, 10, FALSE),0)</f>
        <v>0</v>
      </c>
      <c r="K311" s="102" t="str">
        <f>IFERROR(VLOOKUP(Table139159[[#This Row],[WORK ORDER]], '1. BUILDING ASSET INVENTORY'!A:L, 11, FALSE),"")</f>
        <v/>
      </c>
      <c r="L311" s="109"/>
      <c r="M311" s="197"/>
      <c r="N311" s="109">
        <f>Table139159[[#This Row],[OPERATOR HOURS (BASE)]]+Table139159[[#This Row],[QUANTITY]]*Table139159[[#This Row],[OPERATOR HOURS (PER UNIT)]]</f>
        <v>0</v>
      </c>
      <c r="O311" s="36">
        <f>'TABLE OF CONTENTS'!$K$34</f>
        <v>37.5</v>
      </c>
      <c r="P311" s="36">
        <f>Table139159[[#This Row],[TOTAL OPERATOR HOURS]]*Table139159[[#This Row],[OPERATOR RATE]]</f>
        <v>0</v>
      </c>
      <c r="Q311" s="15">
        <v>0</v>
      </c>
      <c r="R311" s="13">
        <v>0</v>
      </c>
      <c r="S311" s="13">
        <v>0</v>
      </c>
      <c r="T311" s="28"/>
      <c r="U311" s="37">
        <f>SUM(Table139159[[#This Row],[OPERATOR COST]:[UTILITIES]])*Table139159[[#This Row],[FREQUENCY   (TIMES PER YEAR)]]</f>
        <v>0</v>
      </c>
    </row>
    <row r="312" spans="1:21" hidden="1" x14ac:dyDescent="0.25">
      <c r="A312" s="98" t="str">
        <f>IF(Table139159[[#This Row],[QUANTITY]]&gt;0, "YES", "NO")</f>
        <v>NO</v>
      </c>
      <c r="B312" s="27" t="s">
        <v>920</v>
      </c>
      <c r="C312" s="12" t="s">
        <v>32</v>
      </c>
      <c r="D312" s="12" t="s">
        <v>358</v>
      </c>
      <c r="E312" s="12" t="s">
        <v>53</v>
      </c>
      <c r="F312" s="12" t="s">
        <v>53</v>
      </c>
      <c r="G312" s="103" t="s">
        <v>15</v>
      </c>
      <c r="H312" s="103" t="s">
        <v>12</v>
      </c>
      <c r="I312" s="103">
        <v>0</v>
      </c>
      <c r="J312" s="103">
        <f>IFERROR(VLOOKUP(Table139159[[#This Row],[WORK ORDER]], '1. BUILDING ASSET INVENTORY'!A:K, 10, FALSE),0)</f>
        <v>0</v>
      </c>
      <c r="K312" s="102" t="str">
        <f>IFERROR(VLOOKUP(Table139159[[#This Row],[WORK ORDER]], '1. BUILDING ASSET INVENTORY'!A:L, 11, FALSE),"")</f>
        <v/>
      </c>
      <c r="L312" s="109"/>
      <c r="M312" s="197"/>
      <c r="N312" s="109">
        <f>Table139159[[#This Row],[OPERATOR HOURS (BASE)]]+Table139159[[#This Row],[QUANTITY]]*Table139159[[#This Row],[OPERATOR HOURS (PER UNIT)]]</f>
        <v>0</v>
      </c>
      <c r="O312" s="36">
        <f>'TABLE OF CONTENTS'!$K$34</f>
        <v>37.5</v>
      </c>
      <c r="P312" s="36">
        <f>Table139159[[#This Row],[TOTAL OPERATOR HOURS]]*Table139159[[#This Row],[OPERATOR RATE]]</f>
        <v>0</v>
      </c>
      <c r="Q312" s="14">
        <v>0</v>
      </c>
      <c r="R312" s="13">
        <v>0</v>
      </c>
      <c r="S312" s="13">
        <v>0</v>
      </c>
      <c r="T312" s="28"/>
      <c r="U312" s="37">
        <f>SUM(Table139159[[#This Row],[OPERATOR COST]:[UTILITIES]])*Table139159[[#This Row],[FREQUENCY   (TIMES PER YEAR)]]</f>
        <v>0</v>
      </c>
    </row>
    <row r="313" spans="1:21" ht="30" x14ac:dyDescent="0.25">
      <c r="A313" s="98" t="str">
        <f>IF(Table139159[[#This Row],[QUANTITY]]&gt;0, "YES", "NO")</f>
        <v>NO</v>
      </c>
      <c r="B313" s="27" t="s">
        <v>875</v>
      </c>
      <c r="C313" s="12" t="s">
        <v>81</v>
      </c>
      <c r="D313" s="12" t="s">
        <v>120</v>
      </c>
      <c r="E313" s="12" t="s">
        <v>33</v>
      </c>
      <c r="F313" s="12" t="s">
        <v>334</v>
      </c>
      <c r="G313" s="103" t="s">
        <v>204</v>
      </c>
      <c r="H313" s="103" t="s">
        <v>8</v>
      </c>
      <c r="I313" s="103">
        <v>1</v>
      </c>
      <c r="J313" s="103">
        <f>IFERROR(VLOOKUP(Table139159[[#This Row],[WORK ORDER]], '1. BUILDING ASSET INVENTORY'!A:K, 10, FALSE),0)</f>
        <v>0</v>
      </c>
      <c r="K313" s="102" t="str">
        <f>IFERROR(VLOOKUP(Table139159[[#This Row],[WORK ORDER]], '1. BUILDING ASSET INVENTORY'!A:L, 11, FALSE),"")</f>
        <v>Each</v>
      </c>
      <c r="L313" s="109">
        <v>1</v>
      </c>
      <c r="M313" s="197">
        <v>4</v>
      </c>
      <c r="N313" s="109">
        <f>Table139159[[#This Row],[OPERATOR HOURS (BASE)]]+Table139159[[#This Row],[QUANTITY]]*Table139159[[#This Row],[OPERATOR HOURS (PER UNIT)]]</f>
        <v>1</v>
      </c>
      <c r="O313" s="36">
        <f>'TABLE OF CONTENTS'!$K$34</f>
        <v>37.5</v>
      </c>
      <c r="P313" s="36">
        <f>Table139159[[#This Row],[TOTAL OPERATOR HOURS]]*Table139159[[#This Row],[OPERATOR RATE]]</f>
        <v>37.5</v>
      </c>
      <c r="Q313" s="14">
        <f>PRODUCT(Table139159[[#This Row],[QUANTITY]],1500)</f>
        <v>0</v>
      </c>
      <c r="R313" s="13">
        <v>0</v>
      </c>
      <c r="S313" s="13">
        <v>0</v>
      </c>
      <c r="T313" s="28"/>
      <c r="U313" s="37">
        <f>SUM(Table139159[[#This Row],[OPERATOR COST]:[UTILITIES]])*Table139159[[#This Row],[FREQUENCY   (TIMES PER YEAR)]]</f>
        <v>37.5</v>
      </c>
    </row>
    <row r="314" spans="1:21" ht="30" x14ac:dyDescent="0.25">
      <c r="A314" s="98" t="str">
        <f>IF(Table139159[[#This Row],[QUANTITY]]&gt;0, "YES", "NO")</f>
        <v>NO</v>
      </c>
      <c r="B314" s="27" t="s">
        <v>876</v>
      </c>
      <c r="C314" s="12" t="s">
        <v>81</v>
      </c>
      <c r="D314" s="12" t="s">
        <v>120</v>
      </c>
      <c r="E314" s="12" t="s">
        <v>112</v>
      </c>
      <c r="F314" s="12" t="s">
        <v>335</v>
      </c>
      <c r="G314" s="103" t="s">
        <v>204</v>
      </c>
      <c r="H314" s="103" t="s">
        <v>8</v>
      </c>
      <c r="I314" s="103">
        <v>0</v>
      </c>
      <c r="J314" s="103">
        <f>IFERROR(VLOOKUP(Table139159[[#This Row],[WORK ORDER]], '1. BUILDING ASSET INVENTORY'!A:K, 10, FALSE),0)</f>
        <v>0</v>
      </c>
      <c r="K314" s="102" t="str">
        <f>IFERROR(VLOOKUP(Table139159[[#This Row],[WORK ORDER]], '1. BUILDING ASSET INVENTORY'!A:L, 11, FALSE),"")</f>
        <v>Each</v>
      </c>
      <c r="L314" s="109">
        <v>1</v>
      </c>
      <c r="M314" s="197">
        <v>4</v>
      </c>
      <c r="N314" s="109">
        <f>Table139159[[#This Row],[OPERATOR HOURS (BASE)]]+Table139159[[#This Row],[QUANTITY]]*Table139159[[#This Row],[OPERATOR HOURS (PER UNIT)]]</f>
        <v>1</v>
      </c>
      <c r="O314" s="36">
        <f>'TABLE OF CONTENTS'!$K$34</f>
        <v>37.5</v>
      </c>
      <c r="P314" s="36">
        <f>Table139159[[#This Row],[TOTAL OPERATOR HOURS]]*Table139159[[#This Row],[OPERATOR RATE]]</f>
        <v>37.5</v>
      </c>
      <c r="Q314" s="14">
        <f>PRODUCT(Table139159[[#This Row],[QUANTITY]],1500)</f>
        <v>0</v>
      </c>
      <c r="R314" s="13">
        <v>0</v>
      </c>
      <c r="S314" s="13">
        <v>0</v>
      </c>
      <c r="T314" s="28"/>
      <c r="U314" s="37">
        <f>SUM(Table139159[[#This Row],[OPERATOR COST]:[UTILITIES]])*Table139159[[#This Row],[FREQUENCY   (TIMES PER YEAR)]]</f>
        <v>0</v>
      </c>
    </row>
    <row r="315" spans="1:21" ht="30" x14ac:dyDescent="0.25">
      <c r="A315" s="98" t="str">
        <f>IF(Table139159[[#This Row],[QUANTITY]]&gt;0, "YES", "NO")</f>
        <v>NO</v>
      </c>
      <c r="B315" s="27" t="s">
        <v>877</v>
      </c>
      <c r="C315" s="12" t="s">
        <v>81</v>
      </c>
      <c r="D315" s="12" t="s">
        <v>120</v>
      </c>
      <c r="E315" s="12" t="s">
        <v>34</v>
      </c>
      <c r="F315" s="12" t="s">
        <v>336</v>
      </c>
      <c r="G315" s="103" t="s">
        <v>204</v>
      </c>
      <c r="H315" s="103" t="s">
        <v>8</v>
      </c>
      <c r="I315" s="103">
        <v>1</v>
      </c>
      <c r="J315" s="103">
        <f>IFERROR(VLOOKUP(Table139159[[#This Row],[WORK ORDER]], '1. BUILDING ASSET INVENTORY'!A:K, 10, FALSE),0)</f>
        <v>0</v>
      </c>
      <c r="K315" s="102" t="str">
        <f>IFERROR(VLOOKUP(Table139159[[#This Row],[WORK ORDER]], '1. BUILDING ASSET INVENTORY'!A:L, 11, FALSE),"")</f>
        <v>Each</v>
      </c>
      <c r="L315" s="109">
        <v>1</v>
      </c>
      <c r="M315" s="197">
        <v>4</v>
      </c>
      <c r="N315" s="109">
        <f>Table139159[[#This Row],[OPERATOR HOURS (BASE)]]+Table139159[[#This Row],[QUANTITY]]*Table139159[[#This Row],[OPERATOR HOURS (PER UNIT)]]</f>
        <v>1</v>
      </c>
      <c r="O315" s="36">
        <f>'TABLE OF CONTENTS'!$K$34</f>
        <v>37.5</v>
      </c>
      <c r="P315" s="36">
        <f>Table139159[[#This Row],[TOTAL OPERATOR HOURS]]*Table139159[[#This Row],[OPERATOR RATE]]</f>
        <v>37.5</v>
      </c>
      <c r="Q315" s="14">
        <f>PRODUCT(Table139159[[#This Row],[QUANTITY]],1500)</f>
        <v>0</v>
      </c>
      <c r="R315" s="13">
        <v>0</v>
      </c>
      <c r="S315" s="13">
        <v>0</v>
      </c>
      <c r="T315" s="28"/>
      <c r="U315" s="37">
        <f>SUM(Table139159[[#This Row],[OPERATOR COST]:[UTILITIES]])*Table139159[[#This Row],[FREQUENCY   (TIMES PER YEAR)]]</f>
        <v>37.5</v>
      </c>
    </row>
    <row r="316" spans="1:21" hidden="1" x14ac:dyDescent="0.25">
      <c r="A316" s="98" t="str">
        <f>IF(Table139159[[#This Row],[QUANTITY]]&gt;0, "YES", "NO")</f>
        <v>NO</v>
      </c>
      <c r="B316" s="27" t="s">
        <v>919</v>
      </c>
      <c r="C316" s="12" t="s">
        <v>81</v>
      </c>
      <c r="D316" s="12" t="s">
        <v>120</v>
      </c>
      <c r="E316" s="12" t="s">
        <v>53</v>
      </c>
      <c r="F316" s="12" t="s">
        <v>53</v>
      </c>
      <c r="G316" s="103" t="s">
        <v>15</v>
      </c>
      <c r="H316" s="103" t="s">
        <v>12</v>
      </c>
      <c r="I316" s="103">
        <v>0</v>
      </c>
      <c r="J316" s="103">
        <f>IFERROR(VLOOKUP(Table139159[[#This Row],[WORK ORDER]], '1. BUILDING ASSET INVENTORY'!A:K, 10, FALSE),0)</f>
        <v>0</v>
      </c>
      <c r="K316" s="102" t="str">
        <f>IFERROR(VLOOKUP(Table139159[[#This Row],[WORK ORDER]], '1. BUILDING ASSET INVENTORY'!A:L, 11, FALSE),"")</f>
        <v/>
      </c>
      <c r="L316" s="109"/>
      <c r="M316" s="197"/>
      <c r="N316" s="109">
        <f>Table139159[[#This Row],[OPERATOR HOURS (BASE)]]+Table139159[[#This Row],[QUANTITY]]*Table139159[[#This Row],[OPERATOR HOURS (PER UNIT)]]</f>
        <v>0</v>
      </c>
      <c r="O316" s="36">
        <f>'TABLE OF CONTENTS'!$K$34</f>
        <v>37.5</v>
      </c>
      <c r="P316" s="36">
        <f>Table139159[[#This Row],[TOTAL OPERATOR HOURS]]*Table139159[[#This Row],[OPERATOR RATE]]</f>
        <v>0</v>
      </c>
      <c r="Q316" s="15">
        <v>0</v>
      </c>
      <c r="R316" s="13">
        <v>0</v>
      </c>
      <c r="S316" s="13">
        <v>0</v>
      </c>
      <c r="T316" s="28"/>
      <c r="U316" s="37">
        <f>SUM(Table139159[[#This Row],[OPERATOR COST]:[UTILITIES]])*Table139159[[#This Row],[FREQUENCY   (TIMES PER YEAR)]]</f>
        <v>0</v>
      </c>
    </row>
    <row r="317" spans="1:21" hidden="1" x14ac:dyDescent="0.25">
      <c r="A317" s="98" t="str">
        <f>IF(Table139159[[#This Row],[QUANTITY]]&gt;0, "YES", "NO")</f>
        <v>NO</v>
      </c>
      <c r="B317" s="27" t="s">
        <v>918</v>
      </c>
      <c r="C317" s="12" t="s">
        <v>81</v>
      </c>
      <c r="D317" s="12" t="s">
        <v>120</v>
      </c>
      <c r="E317" s="12" t="s">
        <v>53</v>
      </c>
      <c r="F317" s="12" t="s">
        <v>53</v>
      </c>
      <c r="G317" s="103" t="s">
        <v>15</v>
      </c>
      <c r="H317" s="103" t="s">
        <v>12</v>
      </c>
      <c r="I317" s="103">
        <v>0</v>
      </c>
      <c r="J317" s="103">
        <f>IFERROR(VLOOKUP(Table139159[[#This Row],[WORK ORDER]], '1. BUILDING ASSET INVENTORY'!A:K, 10, FALSE),0)</f>
        <v>0</v>
      </c>
      <c r="K317" s="102" t="str">
        <f>IFERROR(VLOOKUP(Table139159[[#This Row],[WORK ORDER]], '1. BUILDING ASSET INVENTORY'!A:L, 11, FALSE),"")</f>
        <v/>
      </c>
      <c r="L317" s="109"/>
      <c r="M317" s="197"/>
      <c r="N317" s="109">
        <f>Table139159[[#This Row],[OPERATOR HOURS (BASE)]]+Table139159[[#This Row],[QUANTITY]]*Table139159[[#This Row],[OPERATOR HOURS (PER UNIT)]]</f>
        <v>0</v>
      </c>
      <c r="O317" s="36">
        <f>'TABLE OF CONTENTS'!$K$34</f>
        <v>37.5</v>
      </c>
      <c r="P317" s="36">
        <f>Table139159[[#This Row],[TOTAL OPERATOR HOURS]]*Table139159[[#This Row],[OPERATOR RATE]]</f>
        <v>0</v>
      </c>
      <c r="Q317" s="15">
        <v>0</v>
      </c>
      <c r="R317" s="13">
        <v>0</v>
      </c>
      <c r="S317" s="13">
        <v>0</v>
      </c>
      <c r="T317" s="28"/>
      <c r="U317" s="37">
        <f>SUM(Table139159[[#This Row],[OPERATOR COST]:[UTILITIES]])*Table139159[[#This Row],[FREQUENCY   (TIMES PER YEAR)]]</f>
        <v>0</v>
      </c>
    </row>
    <row r="318" spans="1:21" hidden="1" x14ac:dyDescent="0.25">
      <c r="A318" s="98" t="str">
        <f>IF(Table139159[[#This Row],[QUANTITY]]&gt;0, "YES", "NO")</f>
        <v>NO</v>
      </c>
      <c r="B318" s="27" t="s">
        <v>917</v>
      </c>
      <c r="C318" s="12" t="s">
        <v>81</v>
      </c>
      <c r="D318" s="12" t="s">
        <v>120</v>
      </c>
      <c r="E318" s="12" t="s">
        <v>53</v>
      </c>
      <c r="F318" s="12" t="s">
        <v>53</v>
      </c>
      <c r="G318" s="103" t="s">
        <v>15</v>
      </c>
      <c r="H318" s="103" t="s">
        <v>12</v>
      </c>
      <c r="I318" s="103">
        <v>0</v>
      </c>
      <c r="J318" s="103">
        <f>IFERROR(VLOOKUP(Table139159[[#This Row],[WORK ORDER]], '1. BUILDING ASSET INVENTORY'!A:K, 10, FALSE),0)</f>
        <v>0</v>
      </c>
      <c r="K318" s="102" t="str">
        <f>IFERROR(VLOOKUP(Table139159[[#This Row],[WORK ORDER]], '1. BUILDING ASSET INVENTORY'!A:L, 11, FALSE),"")</f>
        <v/>
      </c>
      <c r="L318" s="109"/>
      <c r="M318" s="197"/>
      <c r="N318" s="109">
        <f>Table139159[[#This Row],[OPERATOR HOURS (BASE)]]+Table139159[[#This Row],[QUANTITY]]*Table139159[[#This Row],[OPERATOR HOURS (PER UNIT)]]</f>
        <v>0</v>
      </c>
      <c r="O318" s="36">
        <f>'TABLE OF CONTENTS'!$K$34</f>
        <v>37.5</v>
      </c>
      <c r="P318" s="36">
        <f>Table139159[[#This Row],[TOTAL OPERATOR HOURS]]*Table139159[[#This Row],[OPERATOR RATE]]</f>
        <v>0</v>
      </c>
      <c r="Q318" s="15">
        <v>0</v>
      </c>
      <c r="R318" s="13">
        <v>0</v>
      </c>
      <c r="S318" s="13">
        <v>0</v>
      </c>
      <c r="T318" s="28"/>
      <c r="U318" s="37">
        <f>SUM(Table139159[[#This Row],[OPERATOR COST]:[UTILITIES]])*Table139159[[#This Row],[FREQUENCY   (TIMES PER YEAR)]]</f>
        <v>0</v>
      </c>
    </row>
    <row r="319" spans="1:21" ht="30" hidden="1" x14ac:dyDescent="0.25">
      <c r="A319" s="98" t="str">
        <f>IF(Table139159[[#This Row],[QUANTITY]]&gt;0, "YES", "NO")</f>
        <v>NO</v>
      </c>
      <c r="B319" s="27" t="s">
        <v>878</v>
      </c>
      <c r="C319" s="12" t="s">
        <v>81</v>
      </c>
      <c r="D319" s="12" t="s">
        <v>121</v>
      </c>
      <c r="E319" s="12" t="s">
        <v>19</v>
      </c>
      <c r="F319" s="12" t="s">
        <v>332</v>
      </c>
      <c r="G319" s="103" t="s">
        <v>217</v>
      </c>
      <c r="H319" s="103" t="s">
        <v>35</v>
      </c>
      <c r="I319" s="103">
        <v>0</v>
      </c>
      <c r="J319" s="103">
        <f>IFERROR(VLOOKUP(Table139159[[#This Row],[WORK ORDER]], '1. BUILDING ASSET INVENTORY'!A:K, 10, FALSE),0)</f>
        <v>0</v>
      </c>
      <c r="K319" s="102" t="str">
        <f>IFERROR(VLOOKUP(Table139159[[#This Row],[WORK ORDER]], '1. BUILDING ASSET INVENTORY'!A:L, 11, FALSE),"")</f>
        <v>Each</v>
      </c>
      <c r="L319" s="109">
        <v>1</v>
      </c>
      <c r="M319" s="197">
        <v>4</v>
      </c>
      <c r="N319" s="109">
        <f>Table139159[[#This Row],[OPERATOR HOURS (BASE)]]+Table139159[[#This Row],[QUANTITY]]*Table139159[[#This Row],[OPERATOR HOURS (PER UNIT)]]</f>
        <v>1</v>
      </c>
      <c r="O319" s="36">
        <f>'TABLE OF CONTENTS'!$K$34</f>
        <v>37.5</v>
      </c>
      <c r="P319" s="36">
        <f>Table139159[[#This Row],[TOTAL OPERATOR HOURS]]*Table139159[[#This Row],[OPERATOR RATE]]</f>
        <v>37.5</v>
      </c>
      <c r="Q319" s="14">
        <f>PRODUCT(Table139159[[#This Row],[QUANTITY]],2000)</f>
        <v>0</v>
      </c>
      <c r="R319" s="13">
        <v>0</v>
      </c>
      <c r="S319" s="13">
        <v>0</v>
      </c>
      <c r="T319" s="28"/>
      <c r="U319" s="37">
        <f>SUM(Table139159[[#This Row],[OPERATOR COST]:[UTILITIES]])*Table139159[[#This Row],[FREQUENCY   (TIMES PER YEAR)]]</f>
        <v>0</v>
      </c>
    </row>
    <row r="320" spans="1:21" hidden="1" x14ac:dyDescent="0.25">
      <c r="A320" s="98" t="str">
        <f>IF(Table139159[[#This Row],[QUANTITY]]&gt;0, "YES", "NO")</f>
        <v>NO</v>
      </c>
      <c r="B320" s="27" t="s">
        <v>916</v>
      </c>
      <c r="C320" s="12" t="s">
        <v>81</v>
      </c>
      <c r="D320" s="12" t="s">
        <v>121</v>
      </c>
      <c r="E320" s="12" t="s">
        <v>53</v>
      </c>
      <c r="F320" s="12" t="s">
        <v>53</v>
      </c>
      <c r="G320" s="103" t="s">
        <v>15</v>
      </c>
      <c r="H320" s="103" t="s">
        <v>12</v>
      </c>
      <c r="I320" s="103">
        <v>0</v>
      </c>
      <c r="J320" s="103">
        <f>IFERROR(VLOOKUP(Table139159[[#This Row],[WORK ORDER]], '1. BUILDING ASSET INVENTORY'!A:K, 10, FALSE),0)</f>
        <v>0</v>
      </c>
      <c r="K320" s="102" t="str">
        <f>IFERROR(VLOOKUP(Table139159[[#This Row],[WORK ORDER]], '1. BUILDING ASSET INVENTORY'!A:L, 11, FALSE),"")</f>
        <v/>
      </c>
      <c r="L320" s="109"/>
      <c r="M320" s="197"/>
      <c r="N320" s="109">
        <f>Table139159[[#This Row],[OPERATOR HOURS (BASE)]]+Table139159[[#This Row],[QUANTITY]]*Table139159[[#This Row],[OPERATOR HOURS (PER UNIT)]]</f>
        <v>0</v>
      </c>
      <c r="O320" s="36">
        <f>'TABLE OF CONTENTS'!$K$34</f>
        <v>37.5</v>
      </c>
      <c r="P320" s="36">
        <f>Table139159[[#This Row],[TOTAL OPERATOR HOURS]]*Table139159[[#This Row],[OPERATOR RATE]]</f>
        <v>0</v>
      </c>
      <c r="Q320" s="14">
        <v>0</v>
      </c>
      <c r="R320" s="13">
        <v>0</v>
      </c>
      <c r="S320" s="13">
        <v>0</v>
      </c>
      <c r="T320" s="28"/>
      <c r="U320" s="37">
        <f>SUM(Table139159[[#This Row],[OPERATOR COST]:[UTILITIES]])*Table139159[[#This Row],[FREQUENCY   (TIMES PER YEAR)]]</f>
        <v>0</v>
      </c>
    </row>
    <row r="321" spans="1:21" hidden="1" x14ac:dyDescent="0.25">
      <c r="A321" s="98" t="str">
        <f>IF(Table139159[[#This Row],[QUANTITY]]&gt;0, "YES", "NO")</f>
        <v>NO</v>
      </c>
      <c r="B321" s="27" t="s">
        <v>915</v>
      </c>
      <c r="C321" s="12" t="s">
        <v>81</v>
      </c>
      <c r="D321" s="12" t="s">
        <v>121</v>
      </c>
      <c r="E321" s="12" t="s">
        <v>53</v>
      </c>
      <c r="F321" s="12" t="s">
        <v>53</v>
      </c>
      <c r="G321" s="103" t="s">
        <v>15</v>
      </c>
      <c r="H321" s="103" t="s">
        <v>12</v>
      </c>
      <c r="I321" s="103">
        <v>0</v>
      </c>
      <c r="J321" s="103">
        <f>IFERROR(VLOOKUP(Table139159[[#This Row],[WORK ORDER]], '1. BUILDING ASSET INVENTORY'!A:K, 10, FALSE),0)</f>
        <v>0</v>
      </c>
      <c r="K321" s="102" t="str">
        <f>IFERROR(VLOOKUP(Table139159[[#This Row],[WORK ORDER]], '1. BUILDING ASSET INVENTORY'!A:L, 11, FALSE),"")</f>
        <v/>
      </c>
      <c r="L321" s="109"/>
      <c r="M321" s="197"/>
      <c r="N321" s="109">
        <f>Table139159[[#This Row],[OPERATOR HOURS (BASE)]]+Table139159[[#This Row],[QUANTITY]]*Table139159[[#This Row],[OPERATOR HOURS (PER UNIT)]]</f>
        <v>0</v>
      </c>
      <c r="O321" s="36">
        <f>'TABLE OF CONTENTS'!$K$34</f>
        <v>37.5</v>
      </c>
      <c r="P321" s="36">
        <f>Table139159[[#This Row],[TOTAL OPERATOR HOURS]]*Table139159[[#This Row],[OPERATOR RATE]]</f>
        <v>0</v>
      </c>
      <c r="Q321" s="14">
        <v>0</v>
      </c>
      <c r="R321" s="13">
        <v>0</v>
      </c>
      <c r="S321" s="13">
        <v>0</v>
      </c>
      <c r="T321" s="28"/>
      <c r="U321" s="37">
        <f>SUM(Table139159[[#This Row],[OPERATOR COST]:[UTILITIES]])*Table139159[[#This Row],[FREQUENCY   (TIMES PER YEAR)]]</f>
        <v>0</v>
      </c>
    </row>
    <row r="322" spans="1:21" hidden="1" x14ac:dyDescent="0.25">
      <c r="A322" s="98" t="str">
        <f>IF(Table139159[[#This Row],[QUANTITY]]&gt;0, "YES", "NO")</f>
        <v>NO</v>
      </c>
      <c r="B322" s="27" t="s">
        <v>914</v>
      </c>
      <c r="C322" s="12" t="s">
        <v>81</v>
      </c>
      <c r="D322" s="12" t="s">
        <v>121</v>
      </c>
      <c r="E322" s="12" t="s">
        <v>53</v>
      </c>
      <c r="F322" s="12" t="s">
        <v>53</v>
      </c>
      <c r="G322" s="103" t="s">
        <v>15</v>
      </c>
      <c r="H322" s="103" t="s">
        <v>12</v>
      </c>
      <c r="I322" s="103">
        <v>0</v>
      </c>
      <c r="J322" s="103">
        <f>IFERROR(VLOOKUP(Table139159[[#This Row],[WORK ORDER]], '1. BUILDING ASSET INVENTORY'!A:K, 10, FALSE),0)</f>
        <v>0</v>
      </c>
      <c r="K322" s="102" t="str">
        <f>IFERROR(VLOOKUP(Table139159[[#This Row],[WORK ORDER]], '1. BUILDING ASSET INVENTORY'!A:L, 11, FALSE),"")</f>
        <v/>
      </c>
      <c r="L322" s="109"/>
      <c r="M322" s="197"/>
      <c r="N322" s="109">
        <f>Table139159[[#This Row],[OPERATOR HOURS (BASE)]]+Table139159[[#This Row],[QUANTITY]]*Table139159[[#This Row],[OPERATOR HOURS (PER UNIT)]]</f>
        <v>0</v>
      </c>
      <c r="O322" s="14">
        <f>'TABLE OF CONTENTS'!$K$34</f>
        <v>37.5</v>
      </c>
      <c r="P322" s="36">
        <f>Table139159[[#This Row],[TOTAL OPERATOR HOURS]]*Table139159[[#This Row],[OPERATOR RATE]]</f>
        <v>0</v>
      </c>
      <c r="Q322" s="14">
        <v>0</v>
      </c>
      <c r="R322" s="13">
        <v>0</v>
      </c>
      <c r="S322" s="13">
        <v>0</v>
      </c>
      <c r="T322" s="28"/>
      <c r="U322" s="37">
        <f>SUM(Table139159[[#This Row],[OPERATOR COST]:[UTILITIES]])*Table139159[[#This Row],[FREQUENCY   (TIMES PER YEAR)]]</f>
        <v>0</v>
      </c>
    </row>
  </sheetData>
  <dataConsolidate/>
  <conditionalFormatting sqref="A16:U322">
    <cfRule type="expression" dxfId="4" priority="25">
      <formula>AND($A16="YES", $G16="Capital")</formula>
    </cfRule>
    <cfRule type="expression" dxfId="3" priority="26">
      <formula>$A16="YES"</formula>
    </cfRule>
  </conditionalFormatting>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1. BUILDING ASSET INVENTORY</vt:lpstr>
      <vt:lpstr>2. WORK ORDERS</vt:lpstr>
      <vt:lpstr>3. SCHEDULE</vt:lpstr>
      <vt:lpstr>4. BUDGET</vt:lpstr>
      <vt:lpstr>5. WO Data Masterlist</vt:lpstr>
      <vt:lpstr>'4. BUDGET'!TaskDescription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Destry Glover</cp:lastModifiedBy>
  <cp:lastPrinted>2022-05-30T19:58:28Z</cp:lastPrinted>
  <dcterms:created xsi:type="dcterms:W3CDTF">2015-10-19T17:42:33Z</dcterms:created>
  <dcterms:modified xsi:type="dcterms:W3CDTF">2022-06-01T02:07:04Z</dcterms:modified>
</cp:coreProperties>
</file>